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72" firstSheet="6" activeTab="6"/>
  </bookViews>
  <sheets>
    <sheet name="Parámetros" sheetId="1" state="hidden" r:id="rId1"/>
    <sheet name="CRER" sheetId="2" state="hidden" r:id="rId2"/>
    <sheet name="Anexo1-1.1 Res. 137-2019" sheetId="3" state="hidden" r:id="rId3"/>
    <sheet name="Fórmulas" sheetId="4" state="hidden" r:id="rId4"/>
    <sheet name="Resolución 137-2019-OS_CD" sheetId="5" state="hidden" r:id="rId5"/>
    <sheet name="Resolución 138-2019-OS_CD" sheetId="6" state="hidden" r:id="rId6"/>
    <sheet name="Factores" sheetId="7" r:id="rId7"/>
    <sheet name="(1) ImportesCorteReconexión" sheetId="8" r:id="rId8"/>
    <sheet name="(2) Presupuesto de la Conexión" sheetId="9" r:id="rId9"/>
    <sheet name="(2) PresupuestodelaConex_Amazon" sheetId="10" state="hidden" r:id="rId10"/>
    <sheet name="(3) Reposición" sheetId="11" r:id="rId11"/>
    <sheet name="(3) Reposición_Amazonia" sheetId="12" state="hidden" r:id="rId12"/>
    <sheet name="(4)MantenimientoyCambiodeconex" sheetId="13" r:id="rId13"/>
    <sheet name="(4)MantenimientoyCambiodeco_Ama" sheetId="14" state="hidden" r:id="rId14"/>
  </sheets>
  <externalReferences>
    <externalReference r:id="rId17"/>
    <externalReference r:id="rId18"/>
  </externalReferences>
  <definedNames>
    <definedName name="_xlnm.Print_Area" localSheetId="7">'(1) ImportesCorteReconexión'!$B$2:$J$278</definedName>
    <definedName name="_xlnm.Print_Area" localSheetId="8">'(2) Presupuesto de la Conexión'!$B$2:$L$174</definedName>
    <definedName name="_xlnm.Print_Area" localSheetId="9">'(2) PresupuestodelaConex_Amazon'!$B$2:$L$177</definedName>
    <definedName name="_xlnm.Print_Area" localSheetId="10">'(3) Reposición'!$B$2:$L$133</definedName>
    <definedName name="_xlnm.Print_Area" localSheetId="11">'(3) Reposición_Amazonia'!$B$2:$L$132</definedName>
    <definedName name="_xlnm.Print_Area" localSheetId="13">'(4)MantenimientoyCambiodeco_Ama'!$BK$2:$BS$43</definedName>
    <definedName name="_xlnm.Print_Area" localSheetId="12">'(4)MantenimientoyCambiodeconex'!$B$2:$P$111</definedName>
    <definedName name="_xlnm.Print_Area" localSheetId="2">'Anexo1-1.1 Res. 137-2019'!#REF!</definedName>
    <definedName name="ccc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CONEXIONES_GART" localSheetId="7">#REF!</definedName>
    <definedName name="CONEXIONES_GART" localSheetId="9">#REF!</definedName>
    <definedName name="CONEXIONES_GART" localSheetId="11">#REF!</definedName>
    <definedName name="CONEXIONES_GART" localSheetId="13">#REF!</definedName>
    <definedName name="CONEXIONES_GART">#REF!</definedName>
    <definedName name="CORRECTIVO" localSheetId="13">'[1]ActividadesCorrectivo'!$B$6:$C$105</definedName>
    <definedName name="CORRECTIVO" localSheetId="12">'[1]ActividadesCorrectivo'!$B$6:$C$105</definedName>
    <definedName name="CORRECTIVO">'[2]ActividadesCorrectivo'!$B$6:$C$105</definedName>
    <definedName name="Fecha">'Factores'!$B$3</definedName>
    <definedName name="MANOOBRA">'[2]CM-02'!$B$8:$H$12</definedName>
    <definedName name="MATERIAL" localSheetId="13">'[1]CM-01'!$B$7:$H$74</definedName>
    <definedName name="MATERIAL" localSheetId="12">'[1]CM-01'!$B$7:$H$74</definedName>
    <definedName name="MATERIAL">'[2]CM-01'!$B$7:$H$74</definedName>
    <definedName name="REPO01" localSheetId="7">#REF!</definedName>
    <definedName name="REPO01" localSheetId="9">#REF!</definedName>
    <definedName name="REPO01" localSheetId="11">#REF!</definedName>
    <definedName name="REPO01" localSheetId="13">#REF!</definedName>
    <definedName name="REPO01">#REF!</definedName>
    <definedName name="ss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TEXTO">'Factores'!$B$1</definedName>
    <definedName name="_xlnm.Print_Titles" localSheetId="7">'(1) ImportesCorteReconexión'!$2:$4</definedName>
    <definedName name="_xlnm.Print_Titles" localSheetId="8">'(2) Presupuesto de la Conexión'!$2:$4</definedName>
    <definedName name="_xlnm.Print_Titles" localSheetId="9">'(2) PresupuestodelaConex_Amazon'!$2:$4</definedName>
    <definedName name="_xlnm.Print_Titles" localSheetId="10">'(3) Reposición'!$2:$4</definedName>
    <definedName name="_xlnm.Print_Titles" localSheetId="11">'(3) Reposición_Amazonia'!$2:$4</definedName>
    <definedName name="_xlnm.Print_Titles" localSheetId="13">'(4)MantenimientoyCambiodeco_Ama'!$2:$4</definedName>
    <definedName name="_xlnm.Print_Titles" localSheetId="12">'(4)MantenimientoyCambiodeconex'!$2:$4</definedName>
    <definedName name="TRANSEQUIP" localSheetId="13">'[1]CM-02'!$B$17:$H$30</definedName>
    <definedName name="TRANSEQUIP" localSheetId="12">'[1]CM-02'!$B$17:$H$30</definedName>
    <definedName name="TRANSEQUIP">'[2]CM-02'!$B$17:$H$30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<sst xmlns="http://schemas.openxmlformats.org/spreadsheetml/2006/main" count="4539" uniqueCount="462">
  <si>
    <t>Tabla N° 1.1: Tipo de Conexión, Nivel de Tensión, Fases, Potencia Conectada, Tipo de Red y Tipo de Acometida</t>
  </si>
  <si>
    <t>Aérea</t>
  </si>
  <si>
    <t>Subterránea</t>
  </si>
  <si>
    <t>Tipo</t>
  </si>
  <si>
    <t>Subtipo</t>
  </si>
  <si>
    <t>Nivel de</t>
  </si>
  <si>
    <t>Fases</t>
  </si>
  <si>
    <t>Potencia</t>
  </si>
  <si>
    <t>tensión</t>
  </si>
  <si>
    <t>C1</t>
  </si>
  <si>
    <t>C1.1</t>
  </si>
  <si>
    <t>Monofásica</t>
  </si>
  <si>
    <t>Pc ≤ 3 kW</t>
  </si>
  <si>
    <t>BT6-BT7</t>
  </si>
  <si>
    <t>C1.2</t>
  </si>
  <si>
    <t>3 kW &lt; Pc ≤ 10 kW</t>
  </si>
  <si>
    <t>C2</t>
  </si>
  <si>
    <t>C2.1</t>
  </si>
  <si>
    <t>Trifásica</t>
  </si>
  <si>
    <t>Pc ≤ 10 kW</t>
  </si>
  <si>
    <t>BT2-BT3-BT4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</si>
  <si>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</si>
  <si>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</si>
  <si>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</si>
  <si>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</si>
  <si>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</si>
  <si>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</si>
  <si>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</si>
  <si>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</si>
  <si>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</si>
  <si>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</si>
  <si>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</si>
  <si>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</si>
  <si>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</si>
  <si>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</si>
  <si>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PMI</t>
  </si>
  <si>
    <t>Celda</t>
  </si>
  <si>
    <t>C5</t>
  </si>
  <si>
    <t>C5.1</t>
  </si>
  <si>
    <t>Pc ≤ 100 kW</t>
  </si>
  <si>
    <t>MT2-MT3-MT4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</si>
  <si>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</si>
  <si>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</si>
  <si>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</si>
  <si>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</si>
  <si>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</si>
  <si>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</si>
  <si>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Tipo de red</t>
  </si>
  <si>
    <t>Tipo de medición</t>
  </si>
  <si>
    <t>Opción</t>
  </si>
  <si>
    <t>Descripción</t>
  </si>
  <si>
    <t>tarifaria</t>
  </si>
  <si>
    <t>C1.1/C1.2</t>
  </si>
  <si>
    <t>Baja Tensión</t>
  </si>
  <si>
    <t>Aérea/Mixta</t>
  </si>
  <si>
    <t>Sin medición</t>
  </si>
  <si>
    <t>BT6</t>
  </si>
  <si>
    <t>Sin medición (prepago)</t>
  </si>
  <si>
    <t>BT7</t>
  </si>
  <si>
    <t>Con medición simple (medidor electrónico)</t>
  </si>
  <si>
    <t>BT5B</t>
  </si>
  <si>
    <t>Con medición simple (medidor electromecánico)</t>
  </si>
  <si>
    <t>Con medición doble</t>
  </si>
  <si>
    <t>BT5A</t>
  </si>
  <si>
    <t>C2.1/C2.2</t>
  </si>
  <si>
    <t>Pc ≤ 20 kW</t>
  </si>
  <si>
    <t>Con medición múltiple</t>
  </si>
  <si>
    <t>C3/C4</t>
  </si>
  <si>
    <t>C3.1/C4.1/C4.2/C4.3/C4.4</t>
  </si>
  <si>
    <t>Pc &gt; 20 kW</t>
  </si>
  <si>
    <t>C5.1/C5.2/C5.3/C5.4</t>
  </si>
  <si>
    <t>Media Tensión</t>
  </si>
  <si>
    <t>Pc ≤ 1000 kW</t>
  </si>
  <si>
    <t>Parámetro</t>
  </si>
  <si>
    <t>CRCB</t>
  </si>
  <si>
    <t>Cargo de reposición de la conexión en baja tensión, en Nuevos Soles (S/.)</t>
  </si>
  <si>
    <t>CRCM</t>
  </si>
  <si>
    <t>Cargo de reposición de la conexión en media tensión, en Nuevos Soles (S/.)</t>
  </si>
  <si>
    <t>CMCB</t>
  </si>
  <si>
    <t>Cargo de mantenimiento de la conexión en baja tensión, en Nuevos Soles (S/.)</t>
  </si>
  <si>
    <t>CMCM</t>
  </si>
  <si>
    <t>Cargo de mantenimiento de la conexión en media tensión, en Nuevos Soles (S/.)</t>
  </si>
  <si>
    <t>CRMB</t>
  </si>
  <si>
    <t>Cargo de reposición y mantenimiento de la conexión en baja tensión, en Nuevos Soles (S/.)</t>
  </si>
  <si>
    <t>CRMM</t>
  </si>
  <si>
    <t>Cargo de reposición y mantenimiento de la conexión en media tensión, en Nuevos Soles (S/.)</t>
  </si>
  <si>
    <t>Conectada (Pc)</t>
  </si>
  <si>
    <t>BT5B (2 hilos)</t>
  </si>
  <si>
    <t>BT5B (3 hilos)</t>
  </si>
  <si>
    <t>Conexión</t>
  </si>
  <si>
    <t>Conectada</t>
  </si>
  <si>
    <t>C1/C2</t>
  </si>
  <si>
    <t>Unidad</t>
  </si>
  <si>
    <t>Costo</t>
  </si>
  <si>
    <t>Rotura y resane de vereda en baja tensión</t>
  </si>
  <si>
    <t>Murete</t>
  </si>
  <si>
    <t>Mástil metálico de 3 m</t>
  </si>
  <si>
    <t>Mástil metálico de 6 m</t>
  </si>
  <si>
    <t>10 kV</t>
  </si>
  <si>
    <t>13.2/7.62 kV</t>
  </si>
  <si>
    <t>Elemento</t>
  </si>
  <si>
    <t>Empalme de acometida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</si>
  <si>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</si>
  <si>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</si>
  <si>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</si>
  <si>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</si>
  <si>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</si>
  <si>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</si>
  <si>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</si>
  <si>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</si>
  <si>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</si>
  <si>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</si>
  <si>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</si>
  <si>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seccionamiento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</si>
  <si>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</si>
  <si>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</si>
  <si>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</si>
  <si>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</si>
  <si>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</si>
  <si>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</si>
  <si>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Para PMI</t>
  </si>
  <si>
    <t>Protección de estructuras</t>
  </si>
  <si>
    <t>Bloque de concreto</t>
  </si>
  <si>
    <t>Riel de acero</t>
  </si>
  <si>
    <t>Tabla N° 3.1: CRCB - Conexiones en Baja Tensión 220 V - Nuevos Soles</t>
  </si>
  <si>
    <t>Tabla N° 3.2: CRCB - Conexiones en Baja Tensión Múltiples 220 V - Nuevos Soles</t>
  </si>
  <si>
    <t>Tabla N° 3.3: CRCB - Conexiones en Baja Tensión 380/220 V - Nuevos Soles</t>
  </si>
  <si>
    <t>Tabla N° 3.5: CRCB - Conexiones en Baja Tensión 220 V - Prepago - Nuevos Soles</t>
  </si>
  <si>
    <t>Tabla N° 4.1: Cargos de Mantenimiento de las Conexiones en Media y Baja Tensión - Nuevos Soles</t>
  </si>
  <si>
    <t>S/.</t>
  </si>
  <si>
    <t>Tipo de Conexión</t>
  </si>
  <si>
    <t>FAPC(x)</t>
  </si>
  <si>
    <t>FAPC(1)</t>
  </si>
  <si>
    <t>FAPC(2)</t>
  </si>
  <si>
    <t>FAPC(3)</t>
  </si>
  <si>
    <t>FAPC(4)</t>
  </si>
  <si>
    <t>FAPC(5)</t>
  </si>
  <si>
    <t>FAPC(7)</t>
  </si>
  <si>
    <t>Otros Elementos Electromecánicos en Media Tensión</t>
  </si>
  <si>
    <t>Vereda, Murete, Mástil y Protección de Estructuras</t>
  </si>
  <si>
    <t>C1/C2/C3/C4/C5</t>
  </si>
  <si>
    <t>Total</t>
  </si>
  <si>
    <t>FACM(x)</t>
  </si>
  <si>
    <t>FACM(1)</t>
  </si>
  <si>
    <t>FACM(2)</t>
  </si>
  <si>
    <t>MANTENIMIENTO</t>
  </si>
  <si>
    <r>
      <t>TC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(S/./US$)</t>
    </r>
  </si>
  <si>
    <r>
      <t>IPM</t>
    </r>
    <r>
      <rPr>
        <vertAlign val="subscript"/>
        <sz val="11"/>
        <rFont val="Arial"/>
        <family val="2"/>
      </rPr>
      <t>0</t>
    </r>
  </si>
  <si>
    <r>
      <t>IPCu</t>
    </r>
    <r>
      <rPr>
        <vertAlign val="subscript"/>
        <sz val="11"/>
        <rFont val="Arial"/>
        <family val="2"/>
      </rPr>
      <t>0</t>
    </r>
  </si>
  <si>
    <t>BT7 (2 hilos)</t>
  </si>
  <si>
    <t>BT7 (3 hilos)</t>
  </si>
  <si>
    <t>Con medición simple, doble o múltiple</t>
  </si>
  <si>
    <t>10 kV o 13.2/7.62 kV</t>
  </si>
  <si>
    <t>Tabla N° 3.4: CRCB - Conexiones en Baja Tensión Múltiples 380/220 V - Nuevos Soles</t>
  </si>
  <si>
    <t>Conexiones Aéreas, Subterráneas,</t>
  </si>
  <si>
    <t>Subterráneas Múltiples y Mixtas</t>
  </si>
  <si>
    <t>conectada (Pc) (1)</t>
  </si>
  <si>
    <t>INSTALACIÓN Y REPOSICIÓN</t>
  </si>
  <si>
    <t>APC</t>
  </si>
  <si>
    <t>BPC</t>
  </si>
  <si>
    <t>CPC</t>
  </si>
  <si>
    <t>DPC</t>
  </si>
  <si>
    <t>Conexiones Aéreas, Subterráneas, Subterráneas</t>
  </si>
  <si>
    <t>Múltiples y Mixtas en Baja Tensión</t>
  </si>
  <si>
    <t>Conexiones Aéreas, Subterráneas y Mixtas en Baja Tensión</t>
  </si>
  <si>
    <t>Conexiones Básicas en Media Tensión (PMI y Celda)</t>
  </si>
  <si>
    <t>ACM</t>
  </si>
  <si>
    <t>BCM</t>
  </si>
  <si>
    <t>CCM</t>
  </si>
  <si>
    <t>DCM</t>
  </si>
  <si>
    <t>C3/C4/C5</t>
  </si>
  <si>
    <t>Conexiones Aéreas, Mixtas y Subterráneas en Baja Tensión</t>
  </si>
  <si>
    <t>Conexiones en Media Tensión (PMI y Celda)</t>
  </si>
  <si>
    <t>Valor</t>
  </si>
  <si>
    <r>
      <t>IPAl</t>
    </r>
    <r>
      <rPr>
        <vertAlign val="subscript"/>
        <sz val="11"/>
        <rFont val="Arial"/>
        <family val="2"/>
      </rPr>
      <t>0</t>
    </r>
  </si>
  <si>
    <t>(1) Derecho de potencia otorgado por cada tipo de conexión eléctrica.</t>
  </si>
  <si>
    <t>1000 kW &lt; Pc ≤ 2500 kW</t>
  </si>
  <si>
    <t>C5.5</t>
  </si>
  <si>
    <t>BT5A/B/C/D/E</t>
  </si>
  <si>
    <t>Conexiones Eléctricas en Baja Tensión (220 V y 220/380 V)</t>
  </si>
  <si>
    <r>
      <t>m</t>
    </r>
    <r>
      <rPr>
        <vertAlign val="superscript"/>
        <sz val="10"/>
        <rFont val="Arial"/>
        <family val="2"/>
      </rPr>
      <t>2</t>
    </r>
  </si>
  <si>
    <t>Potencia Conectada (Pc)</t>
  </si>
  <si>
    <t>Con seccionador cut-out</t>
  </si>
  <si>
    <t>Con seccionador de potencia para celda interior</t>
  </si>
  <si>
    <r>
      <t>Rotura y reparación de 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</si>
  <si>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BT5B/C/D/E</t>
  </si>
  <si>
    <t>BT5A/B/C/D/E-BT2-BT3-BT4</t>
  </si>
  <si>
    <t>Pc &gt; 1000 kW</t>
  </si>
  <si>
    <t>Tabla N° 1.2: Grupos de Conexión, Nivel de Tensión, Fases, Potencia Conectada, Tipo de Red y Tipo de Medición</t>
  </si>
  <si>
    <t>Tipo de Red</t>
  </si>
  <si>
    <t>Tipo de Medición</t>
  </si>
  <si>
    <t>Opción Tarifaria</t>
  </si>
  <si>
    <t>C1.1 - C1.2</t>
  </si>
  <si>
    <t>Hasta 10 kW</t>
  </si>
  <si>
    <t xml:space="preserve">Baja Tensión, Monofásica, Hasta 10 kW, </t>
  </si>
  <si>
    <t>220 V</t>
  </si>
  <si>
    <t>Aérea/Mixta, Sin Medición</t>
  </si>
  <si>
    <t>380/220 V</t>
  </si>
  <si>
    <t>Aérea/Mixta, Sin Medición, Prepago</t>
  </si>
  <si>
    <t>(medidor electrónico)</t>
  </si>
  <si>
    <t xml:space="preserve">Aérea/Mixta, Simple Medición, Medidor </t>
  </si>
  <si>
    <t>Electrónico</t>
  </si>
  <si>
    <t>Con medición simple</t>
  </si>
  <si>
    <t>(medidor electromecánico)</t>
  </si>
  <si>
    <t>Electromecánico</t>
  </si>
  <si>
    <t>Baja Tensión, Monofásica, Hasta 10 kW,</t>
  </si>
  <si>
    <t>Aérea/Mixta, Doble Medición</t>
  </si>
  <si>
    <t>Subterránea, Sin Medición</t>
  </si>
  <si>
    <t>Subterránea, Sin Medición, Prepago</t>
  </si>
  <si>
    <t>Subterránea, Simple Medición, Medidor</t>
  </si>
  <si>
    <t>Subterránea, Doble Medición</t>
  </si>
  <si>
    <t>C2.1 - C2.2</t>
  </si>
  <si>
    <t>Hasta 20 kW</t>
  </si>
  <si>
    <t>Baja Tensión, Trifásica, Hasta 20 kW, Aérea/Mixta,</t>
  </si>
  <si>
    <t>Sin Medición</t>
  </si>
  <si>
    <t>Simple Medición, Medidor Electrónico</t>
  </si>
  <si>
    <t>Simple Medición, Medidor Electromecánico</t>
  </si>
  <si>
    <t>Doble Medición</t>
  </si>
  <si>
    <t>Múltiple Medición</t>
  </si>
  <si>
    <t>Baja Tensión, Trifásica, Hasta 20 kW, Subterránea,</t>
  </si>
  <si>
    <t>C3.1 - C4.1</t>
  </si>
  <si>
    <t>Mayor a</t>
  </si>
  <si>
    <t>Baja Tensión, Trifásica, Mayor a 20 kW, Aérea,</t>
  </si>
  <si>
    <t>C4.2 - C4.3</t>
  </si>
  <si>
    <t>20 kW</t>
  </si>
  <si>
    <t>Simple, Doble o Múltiple Medición</t>
  </si>
  <si>
    <t>Baja Tensión, Trifásica, Mayor a 20 kW,</t>
  </si>
  <si>
    <t>Subterránea, Simple, Doble o Múltiple Medición</t>
  </si>
  <si>
    <t>C5.1 - C5.2</t>
  </si>
  <si>
    <t>Media</t>
  </si>
  <si>
    <t>Hasta</t>
  </si>
  <si>
    <t>Media Tensión, 10 kV o 13.2/7.62 kV, Trifásica,</t>
  </si>
  <si>
    <t>C5.3 - C5.4</t>
  </si>
  <si>
    <t>Tensión</t>
  </si>
  <si>
    <t>1000 kW</t>
  </si>
  <si>
    <t>Hasta 1000 kW, Aérea, Múltiple Medición</t>
  </si>
  <si>
    <t>Hasta 1000 kW, Subterránea, Múltiple Medición</t>
  </si>
  <si>
    <t>kW, Aérea, Múltiple Medición</t>
  </si>
  <si>
    <t>kW, Subterránea, Múltiple Medición</t>
  </si>
  <si>
    <t>Mayor a 1000 kW, Aérea, Múltiple Medición</t>
  </si>
  <si>
    <t>Mayor a 1000 kW, Subterránea, Múltiple Medición</t>
  </si>
  <si>
    <t>1000 kW, Aérea, Múltiple Medición</t>
  </si>
  <si>
    <t>1000 kW, Subterránea, Múltiple Medición</t>
  </si>
  <si>
    <t>Conexiones Eléctricas en Media Tensión (10 kV, 13.2/7.62 kV, 20 kV y 22.9/13.2 kV)</t>
  </si>
  <si>
    <t>Media Tensión, 20 kV - 22.9/13.2 kV, Trifásica, Hasta 1000</t>
  </si>
  <si>
    <t>20 kV - 22.9/13.2 kV</t>
  </si>
  <si>
    <t>Media Tensión, 20 kV - 22.9/13.2 kV, Trifásica, Mayor a</t>
  </si>
  <si>
    <t>Empresa</t>
  </si>
  <si>
    <t>Coelvisac</t>
  </si>
  <si>
    <t>Edecañete</t>
  </si>
  <si>
    <t>Edelnor</t>
  </si>
  <si>
    <t>Electro Dunas</t>
  </si>
  <si>
    <t>Electro Oriente</t>
  </si>
  <si>
    <t>Electro Pangoa</t>
  </si>
  <si>
    <t>Electro Sur Este</t>
  </si>
  <si>
    <t>Electrocentro</t>
  </si>
  <si>
    <t>Electronorte</t>
  </si>
  <si>
    <t>Electrosur</t>
  </si>
  <si>
    <t>Emseusac</t>
  </si>
  <si>
    <t>Hidrandina</t>
  </si>
  <si>
    <t>Luz del Sur</t>
  </si>
  <si>
    <t>Seal</t>
  </si>
  <si>
    <t>Sersa</t>
  </si>
  <si>
    <t>Electro Puno</t>
  </si>
  <si>
    <t>Electro Tocache</t>
  </si>
  <si>
    <t>Electro Ucayali</t>
  </si>
  <si>
    <t>Electronoroeste</t>
  </si>
  <si>
    <t>Emsemsa</t>
  </si>
  <si>
    <t>CRER</t>
  </si>
  <si>
    <t>S/./Usuario-mes</t>
  </si>
  <si>
    <t>BT5B (2 hilos) - Rural (1)</t>
  </si>
  <si>
    <t>BT5B (3 hilos) - Rural (1)</t>
  </si>
  <si>
    <t>BT2/BT3/BT4</t>
  </si>
  <si>
    <t>BT5A/BT5B/BT2/BT3/BT4</t>
  </si>
  <si>
    <t>(2)</t>
  </si>
  <si>
    <t>(2)(3)</t>
  </si>
  <si>
    <t>(1) Aplicable a los Sectores Típicos 4, 5, 6 y Sistemas Eléctricos Rurales (SER).</t>
  </si>
  <si>
    <t>(2) Aplicable a conexiones con acometida simple o doble.</t>
  </si>
  <si>
    <t>(3) Aplicable a conexiones subterráneas o mixtas (aérea/subterránea).</t>
  </si>
  <si>
    <t>Tabla N° 2.2: Conexiones en Baja Tensión Múltiples 220 V - Nuevos Soles</t>
  </si>
  <si>
    <t>(1)</t>
  </si>
  <si>
    <t>(1) Aplicable en conexiones múltiples con 3 o más usuarios.</t>
  </si>
  <si>
    <t>Tabla N° 2.3: Conexiones en Baja Tensión 380/220 V - Nuevos Soles</t>
  </si>
  <si>
    <t>(1) Aplicable a conexiones con acometida simple o doble.</t>
  </si>
  <si>
    <t>(2) Aplicable a conexiones subterráneas o mixtas (aérea/subterránea).</t>
  </si>
  <si>
    <t>(1)(2)</t>
  </si>
  <si>
    <t>Tabla N° 2.4: Conexiones en Baja Tensión Múltiples 380/220 V - Nuevos Soles</t>
  </si>
  <si>
    <t>Tabla N° 2.5: Conexiones en Baja Tensión 220 V - Prepago - Nuevos Soles</t>
  </si>
  <si>
    <t>BT7 (2 hilos) - Rural (1)</t>
  </si>
  <si>
    <t>BT7 (3 hilos) - Rural (1)</t>
  </si>
  <si>
    <t>Tabla N° 2.7: Conexiones Básicas en Media Tensión - Nuevos Soles</t>
  </si>
  <si>
    <t>MT2/MT3/MT4</t>
  </si>
  <si>
    <t>Tabla N° 2.8: Otros Elementos Electromecánicos en Media Tensión - Nuevos Soles</t>
  </si>
  <si>
    <t>Tabla N° 2.9: Costo por Vereda, Murete y Mástil en Baja Tensión - Nuevos Soles</t>
  </si>
  <si>
    <t>Murete baja tensión, conexión monofásica</t>
  </si>
  <si>
    <t>Murete baja tensión, conexión trifásica</t>
  </si>
  <si>
    <t>Cargo (1)</t>
  </si>
  <si>
    <t>Tabla N° 3.6: Parámetro CRCM - Conexiones Básicas en Media Tensión - Nuevos Soles</t>
  </si>
  <si>
    <t>Con medición simple (medidor electrónico) - caja polimérica</t>
  </si>
  <si>
    <t>Con medición simple (medidor electrónico) - caja metálica</t>
  </si>
  <si>
    <t>Con medición simple (medidor electromecánico) - caja metálica</t>
  </si>
  <si>
    <t>Con medición simple (medidor electromecánico)  - caja polimérica</t>
  </si>
  <si>
    <t>TC (S/./US$)</t>
  </si>
  <si>
    <t>Tabla N° 2.1: Conexiones en Baja Tensión 220 V - Nuevos Soles</t>
  </si>
  <si>
    <t>Tarifaria</t>
  </si>
  <si>
    <t>Caja Toma</t>
  </si>
  <si>
    <t>Tabla N° 4.1: Parámetro CMCB - 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</si>
  <si>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</si>
  <si>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</si>
  <si>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</si>
  <si>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</si>
  <si>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Tabla N° 4.2: Parámetro CMCB - Conexiones en Baja Tensión Múltiples 220 V - Nuevos Soles</t>
  </si>
  <si>
    <t>Tabla N° 4.3: Parámetro CMCB - Conexiones en Baja Tensión 380/220 V - Nuevos Soles</t>
  </si>
  <si>
    <t>Tabla N° 4.4: Parámetro CMCB - Conexiones en Baja Tensión Múltiples 380/220 V - Nuevos Soles</t>
  </si>
  <si>
    <t>Tabla N° 4.5: Parámetro CMCB - Conexiones en Baja Tensión 220 V - Prepago - Nuevos Soles</t>
  </si>
  <si>
    <t>Tabla N° 4.6: Parámetro CMCM - Conexiones en Media Tensión - Nuevos Soles</t>
  </si>
  <si>
    <t>Tabla N° 2.6: Costo por Metro de Cable de Conexiones en Baja Tensión 220 V - Prepago - Nuevos Soles</t>
  </si>
  <si>
    <r>
      <t>1.1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Calibri"/>
        <family val="2"/>
      </rPr>
      <t>Conexiones monofásicas, hasta 10 kW, BT5A, BT5B y BT6</t>
    </r>
  </si>
  <si>
    <t>Costo Total (S/.)</t>
  </si>
  <si>
    <t>Modalidad</t>
  </si>
  <si>
    <t>Corte</t>
  </si>
  <si>
    <t>Fusible o interruptor (tapa sin ranura)</t>
  </si>
  <si>
    <t>Interruptor (tapa con ranura)</t>
  </si>
  <si>
    <t xml:space="preserve">Monofásica </t>
  </si>
  <si>
    <t>Caja de medición (aislamiento acometida)</t>
  </si>
  <si>
    <t xml:space="preserve">hasta 10 kW </t>
  </si>
  <si>
    <t>Línea aérea (empalme)</t>
  </si>
  <si>
    <t>BT5A-BT5B-BT6</t>
  </si>
  <si>
    <t>Reconexión</t>
  </si>
  <si>
    <t xml:space="preserve">Otras Empresas </t>
  </si>
  <si>
    <t>SEIN</t>
  </si>
  <si>
    <t xml:space="preserve">Urbana </t>
  </si>
  <si>
    <t xml:space="preserve">Rural </t>
  </si>
  <si>
    <t>Traslado</t>
  </si>
  <si>
    <t>Urbana Lima</t>
  </si>
  <si>
    <t>Provincia</t>
  </si>
  <si>
    <t>Rural</t>
  </si>
  <si>
    <t xml:space="preserve">Provincia </t>
  </si>
  <si>
    <t>Amazonía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</si>
  <si>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</si>
  <si>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</si>
  <si>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</si>
  <si>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</si>
  <si>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</si>
  <si>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</si>
  <si>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 conexión aérea</t>
  </si>
  <si>
    <t>RI conexión subterránea</t>
  </si>
  <si>
    <t>RI conexión mixta</t>
  </si>
  <si>
    <t xml:space="preserve">Urbana Lima </t>
  </si>
  <si>
    <t>Urbana</t>
  </si>
  <si>
    <t xml:space="preserve"> Provincia </t>
  </si>
  <si>
    <t>Caja de medición (aislamiento acometida bloqueada)</t>
  </si>
  <si>
    <t>RT conexión subterránea (empalme y cable acometida)</t>
  </si>
  <si>
    <t>RT conexión mixta (empalme y cable acometida)</t>
  </si>
  <si>
    <t>RI conexión subterránea (empalme y cable acometida)</t>
  </si>
  <si>
    <t>RI conexión mixta (empalme y cable acometida)</t>
  </si>
  <si>
    <r>
      <t>1.2</t>
    </r>
    <r>
      <rPr>
        <b/>
        <sz val="14"/>
        <color indexed="8"/>
        <rFont val="Times New Roman"/>
        <family val="1"/>
      </rPr>
      <t xml:space="preserve">               </t>
    </r>
    <r>
      <rPr>
        <b/>
        <sz val="14"/>
        <color indexed="8"/>
        <rFont val="Calibri"/>
        <family val="2"/>
      </rPr>
      <t>Conexiones trifásicas, hasta 20 kW, BT5A, BT5B y BT6</t>
    </r>
  </si>
  <si>
    <t xml:space="preserve">Trifásica hasta </t>
  </si>
  <si>
    <t>20 kW BT5A-</t>
  </si>
  <si>
    <t>BT5B-BT6</t>
  </si>
  <si>
    <t xml:space="preserve">Otras </t>
  </si>
  <si>
    <t>Empresas</t>
  </si>
  <si>
    <t xml:space="preserve"> SEIN</t>
  </si>
  <si>
    <t xml:space="preserve"> Provincia</t>
  </si>
  <si>
    <t xml:space="preserve"> Amazonía</t>
  </si>
  <si>
    <t>1.3 Conexiones trifásicas,hasta 20 kW, resto de opciones (BT2,BT3 y BT4)</t>
  </si>
  <si>
    <t xml:space="preserve">20 kW resto de </t>
  </si>
  <si>
    <t xml:space="preserve">opciones (BT2, </t>
  </si>
  <si>
    <t>BT3 y BT4)</t>
  </si>
  <si>
    <t>1.4 Conexiones trifásicas,mayor a  20 kW, resto de opciones (BT2,BT3 y BT4)</t>
  </si>
  <si>
    <t xml:space="preserve">Trifásica </t>
  </si>
  <si>
    <t xml:space="preserve">mayor a 20 kW </t>
  </si>
  <si>
    <t xml:space="preserve">resto de </t>
  </si>
  <si>
    <t>1.5 Conexiones trifásicas,hasta a  2500 kW, resto de opciones (MT2,MT3 y MT4)</t>
  </si>
  <si>
    <t>Trifásica hasta 2500 kW resto de opciones (MT2, MT3 y MT4)</t>
  </si>
  <si>
    <t>En sistema de protección - PMI</t>
  </si>
  <si>
    <t>En sistema de protección - Celda</t>
  </si>
  <si>
    <t>Factores de descuento para cortes no efectuados por oposición de los usuarios</t>
  </si>
  <si>
    <t>Monofásica hasta 10 kW BT5A-BT5B-BT6</t>
  </si>
  <si>
    <t>Trifásica hasta 20 kW BT5A-BT5B-BT6</t>
  </si>
  <si>
    <t>Trifásica hasta 20 kW Resto de Opciones (BT2-BT3-BT4)</t>
  </si>
  <si>
    <t>Trifásica mayor a 20 kW Resto de Opciones (BT2-BT3-BT4)</t>
  </si>
  <si>
    <t>Trifásica hasta 2500 kW Resto de Opciones (MT2-MT3-MT4)</t>
  </si>
  <si>
    <t>SP - PMI</t>
  </si>
  <si>
    <t>SP - Celda</t>
  </si>
  <si>
    <t>Importes Máximos por Corte y Reconexión</t>
  </si>
  <si>
    <t>Evaluación de Factores de Actualización Tarifaria</t>
  </si>
  <si>
    <t>1. PRESUPUESTOS Y CARGOS DE REPOSICIÓN DE LA CONEXIÓN</t>
  </si>
  <si>
    <t>Para conexiones</t>
  </si>
  <si>
    <t>a) Conexiones en Baja Tensión - C1/C2</t>
  </si>
  <si>
    <t>b) Conexiones en Baja Tensión - C3/C4</t>
  </si>
  <si>
    <t>c) Conexiones Básicas en Media Tensión (PMI y Celda) - C5</t>
  </si>
  <si>
    <t>d) Otros Elementos Electromecánicos en Media Tensión - C5</t>
  </si>
  <si>
    <t>e) Vereda, Murete, Mástil y Protección de Estructuras - C1/C2/C3/C4/C5</t>
  </si>
  <si>
    <t>Para cambio a conexión prepago</t>
  </si>
  <si>
    <t/>
  </si>
  <si>
    <t>Para costos por metro de cable</t>
  </si>
  <si>
    <t>2. MANTENIMIENTO DE LA CONEXIÓN</t>
  </si>
  <si>
    <t>b) Conexiones en Baja y Media Tensión  (PMI y Celda) - C3/C4/C5</t>
  </si>
  <si>
    <t>a) Corte y Reconexión</t>
  </si>
  <si>
    <t>Presupuestos y cargos de reposición de la conexión</t>
  </si>
  <si>
    <t>Cargos de mantenimiento de la conexión</t>
  </si>
  <si>
    <r>
      <t>1.2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trifásicas, hasta 20 kW, BT5A, BT5B y BT6</t>
    </r>
  </si>
  <si>
    <r>
      <t>1.1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monofásicas, hasta 10 kW, BT5A, BT5B y BT6</t>
    </r>
  </si>
  <si>
    <t>Presupuestos de la Conexión</t>
  </si>
  <si>
    <r>
      <t>Rotura y reparación de vereda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</si>
  <si>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m</t>
    </r>
    <r>
      <rPr>
        <vertAlign val="superscript"/>
        <sz val="10"/>
        <rFont val="Calibri"/>
        <family val="2"/>
      </rPr>
      <t>2</t>
    </r>
  </si>
  <si>
    <t>Cargos de Reposición de la Conexión</t>
  </si>
  <si>
    <t>Cargo por Reposición de Elementos Sustraidos por Terceros</t>
  </si>
  <si>
    <t>Cargos de Mantenimiento de la Conexión</t>
  </si>
  <si>
    <t>C.2 DISTRIBUCIÓN - PRESUPUESTOS DE CONEXIÓN - Resolución OSINERGMIN Nº 159-2015-OS/CD</t>
  </si>
  <si>
    <t>C.3. DISTRIBUCIÓN - CORTE Y RECONEXIÓN (FAIM) - Resolución OSINERGMIN Nº 175-2015-OS/CD</t>
  </si>
  <si>
    <t>Cargos de Reposición de la Conexión-Amazonia</t>
  </si>
  <si>
    <t>Cargos de Mantenimiento de la Conexión-Amazonia</t>
  </si>
  <si>
    <t>Tabla N° 4.1: Parámetro CMCB - Conexiones en Baja Tensión 220 V - Amazonia - Nuevos Soles</t>
  </si>
  <si>
    <t>Tabla N° 4.2: Parámetro CMCB - Conexiones en Baja Tensión Múltiples 220 V - Amazonia -Nuevos Soles</t>
  </si>
  <si>
    <t>Tabla N° 4.3: Parámetro CMCB - Conexiones en Baja Tensión 380/220 V - Amazonia -Nuevos Soles</t>
  </si>
  <si>
    <t>Tabla N° 4.4: Parámetro CMCB - Conexiones en Baja Tensión Múltiples 380/220 V - Amazonia -Nuevos Soles</t>
  </si>
  <si>
    <t>Tabla N° 4.5: Parámetro CMCB - Conexiones en Baja Tensión 220 V - Prepago - Amazonia -Nuevos Soles</t>
  </si>
  <si>
    <t>Tabla N° 4.6: Parámetro CMCM - Conexiones en Media Tensión - Amazonia -Nuevos Soles</t>
  </si>
  <si>
    <t>Presupuestos de la Conexión - Amazonia</t>
  </si>
  <si>
    <t>Tabla N° 3.1: CRCB - Conexiones en Baja Tensión 220 V - Amazonia - Nuevos Soles</t>
  </si>
  <si>
    <t>Tabla N° 3.2: CRCB - Conexiones en Baja Tensión Múltiples 220 V - Amazonia -Nuevos Soles</t>
  </si>
  <si>
    <t>Tabla N° 3.3: CRCB - Conexiones en Baja Tensión 380/220 V - Amazonia -Nuevos Soles</t>
  </si>
  <si>
    <t>Tabla N° 3.4: CRCB - Conexiones en Baja Tensión Múltiples 380/220 V - Amazonia - Nuevos Soles</t>
  </si>
  <si>
    <t>Tabla N° 3.5: CRCB - Conexiones en Baja Tensión 220 V - Prepago - Amazonia -Nuevos Soles</t>
  </si>
  <si>
    <t>Tabla N° 3.6: Parámetro CRCM - Conexiones Básicas en Media Tensión - Amazonia -Nuevos Soles</t>
  </si>
  <si>
    <t>Inicial sin recursos de reconsideración</t>
  </si>
  <si>
    <t xml:space="preserve">de la Conexión en Baja Tensión, BT5B (CRER)-Amazonia-Resolución N° 225-2015-OS/CD </t>
  </si>
  <si>
    <t>Resolución Base175-2015-OS/CD</t>
  </si>
  <si>
    <t>Suma</t>
  </si>
  <si>
    <t>Enel</t>
  </si>
  <si>
    <t>(1) Aplicable a los Sectores Típicos 3 y 4 (para Grupo 1 y Grupo 2 a partir de 1/11/2019), Sectores Típicos 4, 5, 6 (Grupo 2 hasta 31/10/2019) y Sistemas Electricos Rural (SER)</t>
  </si>
  <si>
    <t>Tabla N° 2.1: Conexiones en Baja Tensión 220 V - Soles</t>
  </si>
  <si>
    <t>Tabla N° 2.2: Conexiones en Baja Tensión Múltiples 220 V - Soles</t>
  </si>
  <si>
    <t>Tabla N° 2.3: Conexiones en Baja Tensión 380/220 V - Soles</t>
  </si>
  <si>
    <t>Tabla N° 2.4: Conexiones en Baja Tensión Múltiples 380/220 V - Soles</t>
  </si>
  <si>
    <t>Tabla N° 2.5: Conexiones en Baja Tensión 220 V - Prepago - Soles</t>
  </si>
  <si>
    <t>Tabla N° 2.6: Costo por Metro de Cable de Conexiones en Baja Tensión 220 V - Prepago - Soles</t>
  </si>
  <si>
    <t>Tabla N° 2.7: Conexiones Básicas en Media Tensión - Soles</t>
  </si>
  <si>
    <t>Tabla N° 2.9: Costo por Vereda, Murete y Mástil en Baja Tensión - Soles</t>
  </si>
  <si>
    <t>Tabla N° 3.1: CRCB - Conexiones en Baja Tensión 220 V - Soles</t>
  </si>
  <si>
    <t>Tabla N° 3.2: CRCB - Conexiones en Baja Tensión Múltiples 220 V - Soles</t>
  </si>
  <si>
    <t>Tabla N° 3.3: CRCB - Conexiones en Baja Tensión 380/220 V - Soles</t>
  </si>
  <si>
    <t>Tabla N° 3.4: CRCB - Conexiones en Baja Tensión Múltiples 380/220 V - Soles</t>
  </si>
  <si>
    <t>Tabla N° 3.5: CRCB - Conexiones en Baja Tensión 220 V - Prepago - Soles</t>
  </si>
  <si>
    <t>Tabla N° 3.6: Parámetro CRCM - Conexiones Básicas en Media Tensión - Soles</t>
  </si>
  <si>
    <t>Enel Distribución</t>
  </si>
  <si>
    <t>BT5A-BT5B-BT5C-AP-BT6</t>
  </si>
  <si>
    <t>Tabla N° 2.1: Conexiones en Baja Tensión 220 V - Amazonia - Soles</t>
  </si>
  <si>
    <t>Tabla N° 2.2: Conexiones en Baja Tensión Múltiples 220 V - Amazonia - Soles</t>
  </si>
  <si>
    <t>Tabla N° 2.3: Conexiones en Baja Tensión 380/220 V - Amazonia - Soles</t>
  </si>
  <si>
    <t>Tabla N° 2.4: Conexiones en Baja Tensión Múltiples 380/220 V - Amazonia - Soles</t>
  </si>
  <si>
    <t>Tabla N° 2.5: Conexiones en Baja Tensión 220 V - Prepago - Amazonia - Soles</t>
  </si>
  <si>
    <t>Tabla N° 2.6: Costo por Metro de Cable de Conexiones en Baja Tensión 220 V - Prepago - Amazonia - Soles</t>
  </si>
  <si>
    <t>Tabla N° 2.7: Conexiones Básicas en Media Tensión - Amazonia - Soles</t>
  </si>
  <si>
    <t>Tabla N° 2.8: Otros Elementos Electromecánicos en Media Tensión - Amazonia - Soles</t>
  </si>
  <si>
    <t>Tabla N° 2.9: Costo por Vereda, Murete y Mástil en Baja Tensión - Amazonia - Soles</t>
  </si>
  <si>
    <t>Tabla N° 4.1: Parámetro CMCB - Conexiones en Baja Tensión 220 V - Amazonia - Soles</t>
  </si>
  <si>
    <t>Con Recurso de Reconsideración, Res. 137-2019-OS/CD</t>
  </si>
  <si>
    <t>Resolución Osinergmin N° 137-2019-OS/CD modificado por Resolución Osinergmin N° 176-2019 OS/CD</t>
  </si>
  <si>
    <t>Resolución Osinergmin N° 138-2019-OS/CD modificado por la Resolución N° 192-2019 OS/CD</t>
  </si>
</sst>
</file>

<file path=xl/styles.xml><?xml version="1.0" encoding="utf-8"?>
<styleSheet xmlns="http://schemas.openxmlformats.org/spreadsheetml/2006/main">
  <numFmts count="1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.0000"/>
    <numFmt numFmtId="166" formatCode="General_)"/>
    <numFmt numFmtId="167" formatCode="0.00000000"/>
    <numFmt numFmtId="168" formatCode="#,##0.0000_);\(#,##0.0000\)"/>
    <numFmt numFmtId="169" formatCode="0.0000"/>
    <numFmt numFmtId="170" formatCode="0.00000"/>
    <numFmt numFmtId="171" formatCode="0.000000"/>
    <numFmt numFmtId="172" formatCode="0.000"/>
    <numFmt numFmtId="173" formatCode="#,##0.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4"/>
      <color indexed="16"/>
      <name val="Times New Roman"/>
      <family val="1"/>
    </font>
    <font>
      <sz val="12"/>
      <name val="Arial MT"/>
      <family val="0"/>
    </font>
    <font>
      <b/>
      <sz val="14"/>
      <name val="Arial Black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sz val="20"/>
      <color indexed="17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b/>
      <sz val="16"/>
      <color indexed="12"/>
      <name val="Calibri"/>
      <family val="2"/>
    </font>
    <font>
      <b/>
      <sz val="14"/>
      <color indexed="16"/>
      <name val="Calibri"/>
      <family val="2"/>
    </font>
    <font>
      <b/>
      <sz val="10"/>
      <name val="Calibri"/>
      <family val="2"/>
    </font>
    <font>
      <b/>
      <u val="single"/>
      <sz val="14"/>
      <color indexed="12"/>
      <name val="Times New Roman"/>
      <family val="1"/>
    </font>
    <font>
      <b/>
      <sz val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sz val="13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rgb="FF0000FF"/>
      <name val="Calibri"/>
      <family val="2"/>
    </font>
    <font>
      <b/>
      <sz val="9"/>
      <color theme="1"/>
      <name val="Calibri"/>
      <family val="2"/>
    </font>
    <font>
      <b/>
      <sz val="20"/>
      <color rgb="FF00B050"/>
      <name val="Calibri"/>
      <family val="2"/>
    </font>
    <font>
      <b/>
      <sz val="14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9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7">
      <alignment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8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justify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wrapText="1"/>
    </xf>
    <xf numFmtId="0" fontId="11" fillId="0" borderId="0" xfId="228" applyFont="1">
      <alignment/>
      <protection/>
    </xf>
    <xf numFmtId="0" fontId="0" fillId="0" borderId="0" xfId="215" applyFont="1">
      <alignment/>
      <protection/>
    </xf>
    <xf numFmtId="0" fontId="15" fillId="0" borderId="0" xfId="108" applyFont="1">
      <alignment/>
      <protection/>
    </xf>
    <xf numFmtId="0" fontId="11" fillId="0" borderId="0" xfId="108" applyFont="1">
      <alignment/>
      <protection/>
    </xf>
    <xf numFmtId="0" fontId="12" fillId="0" borderId="11" xfId="108" applyFont="1" applyBorder="1" applyAlignment="1">
      <alignment horizontal="center" vertical="center" wrapText="1"/>
      <protection/>
    </xf>
    <xf numFmtId="0" fontId="12" fillId="0" borderId="14" xfId="108" applyFont="1" applyBorder="1" applyAlignment="1">
      <alignment horizontal="center" vertical="center" wrapText="1"/>
      <protection/>
    </xf>
    <xf numFmtId="0" fontId="11" fillId="0" borderId="19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center" vertical="center" wrapText="1"/>
      <protection/>
    </xf>
    <xf numFmtId="0" fontId="11" fillId="0" borderId="12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left" vertical="center" wrapText="1"/>
      <protection/>
    </xf>
    <xf numFmtId="0" fontId="12" fillId="0" borderId="19" xfId="108" applyFont="1" applyBorder="1" applyAlignment="1">
      <alignment horizontal="center" vertical="center" wrapText="1"/>
      <protection/>
    </xf>
    <xf numFmtId="0" fontId="11" fillId="0" borderId="18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left" vertical="center" wrapText="1"/>
      <protection/>
    </xf>
    <xf numFmtId="49" fontId="11" fillId="0" borderId="12" xfId="108" applyNumberFormat="1" applyFont="1" applyBorder="1" applyAlignment="1">
      <alignment horizontal="center" vertical="center" wrapText="1"/>
      <protection/>
    </xf>
    <xf numFmtId="0" fontId="11" fillId="0" borderId="19" xfId="108" applyFont="1" applyBorder="1" applyAlignment="1">
      <alignment horizontal="left" vertical="center" wrapText="1"/>
      <protection/>
    </xf>
    <xf numFmtId="0" fontId="11" fillId="0" borderId="13" xfId="108" applyFont="1" applyBorder="1" applyAlignment="1">
      <alignment horizontal="center" vertical="center" wrapText="1"/>
      <protection/>
    </xf>
    <xf numFmtId="0" fontId="11" fillId="0" borderId="0" xfId="108" applyFont="1" applyAlignment="1">
      <alignment horizontal="center" vertical="center" wrapText="1"/>
      <protection/>
    </xf>
    <xf numFmtId="0" fontId="11" fillId="0" borderId="0" xfId="108" applyFont="1" applyAlignment="1">
      <alignment vertical="center" wrapText="1"/>
      <protection/>
    </xf>
    <xf numFmtId="0" fontId="63" fillId="0" borderId="0" xfId="216">
      <alignment/>
      <protection/>
    </xf>
    <xf numFmtId="0" fontId="11" fillId="0" borderId="0" xfId="227" applyFont="1">
      <alignment/>
      <protection/>
    </xf>
    <xf numFmtId="0" fontId="12" fillId="0" borderId="11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Continuous" vertical="center" wrapText="1"/>
      <protection/>
    </xf>
    <xf numFmtId="0" fontId="12" fillId="0" borderId="19" xfId="227" applyFont="1" applyBorder="1" applyAlignment="1">
      <alignment horizontal="center"/>
      <protection/>
    </xf>
    <xf numFmtId="0" fontId="11" fillId="0" borderId="11" xfId="227" applyFont="1" applyBorder="1" applyAlignment="1">
      <alignment horizontal="center" vertical="center" wrapText="1"/>
      <protection/>
    </xf>
    <xf numFmtId="0" fontId="11" fillId="0" borderId="16" xfId="227" applyFont="1" applyBorder="1" applyAlignment="1">
      <alignment horizontal="center" vertical="center" wrapText="1"/>
      <protection/>
    </xf>
    <xf numFmtId="0" fontId="11" fillId="0" borderId="12" xfId="226" applyFont="1" applyBorder="1" applyAlignment="1">
      <alignment horizontal="center" vertical="center" wrapText="1"/>
      <protection/>
    </xf>
    <xf numFmtId="0" fontId="11" fillId="0" borderId="14" xfId="227" applyFont="1" applyBorder="1" applyAlignment="1">
      <alignment horizontal="center" vertical="center" wrapText="1"/>
      <protection/>
    </xf>
    <xf numFmtId="0" fontId="11" fillId="0" borderId="17" xfId="227" applyFont="1" applyBorder="1" applyAlignment="1">
      <alignment horizontal="center" vertical="center" wrapText="1"/>
      <protection/>
    </xf>
    <xf numFmtId="0" fontId="11" fillId="0" borderId="18" xfId="226" applyFont="1" applyBorder="1" applyAlignment="1">
      <alignment horizontal="center" vertical="center" wrapText="1"/>
      <protection/>
    </xf>
    <xf numFmtId="0" fontId="11" fillId="0" borderId="19" xfId="227" applyFont="1" applyBorder="1" applyAlignment="1">
      <alignment horizontal="center" vertical="center" wrapText="1"/>
      <protection/>
    </xf>
    <xf numFmtId="0" fontId="11" fillId="0" borderId="13" xfId="226" applyFont="1" applyBorder="1" applyAlignment="1">
      <alignment horizontal="center" vertical="center" wrapText="1"/>
      <protection/>
    </xf>
    <xf numFmtId="0" fontId="11" fillId="0" borderId="10" xfId="227" applyFont="1" applyBorder="1" applyAlignment="1">
      <alignment horizontal="center" vertical="center" wrapText="1"/>
      <protection/>
    </xf>
    <xf numFmtId="0" fontId="11" fillId="0" borderId="10" xfId="226" applyFont="1" applyBorder="1" applyAlignment="1">
      <alignment horizontal="center" vertical="center" wrapText="1"/>
      <protection/>
    </xf>
    <xf numFmtId="0" fontId="11" fillId="0" borderId="20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" vertical="center" wrapText="1"/>
      <protection/>
    </xf>
    <xf numFmtId="0" fontId="12" fillId="0" borderId="11" xfId="227" applyFont="1" applyBorder="1" applyAlignment="1">
      <alignment horizontal="centerContinuous" vertical="center" wrapText="1"/>
      <protection/>
    </xf>
    <xf numFmtId="0" fontId="12" fillId="0" borderId="0" xfId="227" applyFont="1" applyAlignment="1">
      <alignment horizontal="centerContinuous" vertical="center" wrapText="1"/>
      <protection/>
    </xf>
    <xf numFmtId="0" fontId="12" fillId="0" borderId="18" xfId="227" applyFont="1" applyBorder="1" applyAlignment="1">
      <alignment horizontal="center"/>
      <protection/>
    </xf>
    <xf numFmtId="0" fontId="12" fillId="0" borderId="14" xfId="227" applyFont="1" applyBorder="1" applyAlignment="1">
      <alignment horizontal="centerContinuous" vertical="center" wrapText="1"/>
      <protection/>
    </xf>
    <xf numFmtId="0" fontId="11" fillId="0" borderId="0" xfId="227" applyFont="1" applyAlignment="1">
      <alignment horizontal="center" vertical="center" wrapText="1"/>
      <protection/>
    </xf>
    <xf numFmtId="0" fontId="11" fillId="0" borderId="14" xfId="227" applyFont="1" applyBorder="1">
      <alignment/>
      <protection/>
    </xf>
    <xf numFmtId="0" fontId="13" fillId="0" borderId="0" xfId="226" applyFont="1">
      <alignment/>
      <protection/>
    </xf>
    <xf numFmtId="0" fontId="12" fillId="0" borderId="11" xfId="112" applyFont="1" applyBorder="1" applyAlignment="1">
      <alignment horizontal="center" vertical="center" wrapText="1"/>
      <protection/>
    </xf>
    <xf numFmtId="0" fontId="11" fillId="0" borderId="19" xfId="112" applyFont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center" vertical="center" wrapText="1"/>
      <protection/>
    </xf>
    <xf numFmtId="0" fontId="11" fillId="0" borderId="14" xfId="112" applyFont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left" vertical="center" wrapText="1"/>
      <protection/>
    </xf>
    <xf numFmtId="0" fontId="11" fillId="0" borderId="14" xfId="112" applyFont="1" applyBorder="1" applyAlignment="1">
      <alignment horizontal="left" vertical="center" wrapText="1"/>
      <protection/>
    </xf>
    <xf numFmtId="0" fontId="11" fillId="0" borderId="18" xfId="112" applyFont="1" applyBorder="1" applyAlignment="1">
      <alignment horizontal="center" vertical="center" wrapText="1"/>
      <protection/>
    </xf>
    <xf numFmtId="0" fontId="12" fillId="0" borderId="14" xfId="112" applyFont="1" applyBorder="1" applyAlignment="1">
      <alignment horizontal="center" vertical="center" wrapText="1"/>
      <protection/>
    </xf>
    <xf numFmtId="0" fontId="4" fillId="0" borderId="0" xfId="225">
      <alignment/>
      <protection/>
    </xf>
    <xf numFmtId="0" fontId="0" fillId="0" borderId="0" xfId="226" applyFont="1" applyAlignment="1">
      <alignment horizontal="center" vertical="center"/>
      <protection/>
    </xf>
    <xf numFmtId="0" fontId="0" fillId="0" borderId="12" xfId="226" applyFont="1" applyBorder="1" applyAlignment="1">
      <alignment horizontal="center" vertical="center"/>
      <protection/>
    </xf>
    <xf numFmtId="0" fontId="3" fillId="0" borderId="18" xfId="226" applyFont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0" fillId="0" borderId="10" xfId="226" applyFont="1" applyBorder="1" applyAlignment="1">
      <alignment horizontal="center" vertical="center" wrapText="1"/>
      <protection/>
    </xf>
    <xf numFmtId="0" fontId="0" fillId="0" borderId="14" xfId="58" applyFont="1" applyBorder="1">
      <alignment/>
      <protection/>
    </xf>
    <xf numFmtId="0" fontId="3" fillId="0" borderId="13" xfId="58" applyFont="1" applyBorder="1" applyAlignment="1">
      <alignment horizontal="center"/>
      <protection/>
    </xf>
    <xf numFmtId="0" fontId="0" fillId="0" borderId="18" xfId="58" applyFont="1" applyBorder="1">
      <alignment/>
      <protection/>
    </xf>
    <xf numFmtId="0" fontId="6" fillId="0" borderId="0" xfId="226" applyFont="1">
      <alignment/>
      <protection/>
    </xf>
    <xf numFmtId="0" fontId="0" fillId="0" borderId="0" xfId="226" applyFont="1">
      <alignment/>
      <protection/>
    </xf>
    <xf numFmtId="0" fontId="0" fillId="0" borderId="21" xfId="71" applyFont="1" applyBorder="1" applyAlignment="1">
      <alignment vertical="center" wrapText="1"/>
      <protection/>
    </xf>
    <xf numFmtId="0" fontId="0" fillId="0" borderId="22" xfId="71" applyFont="1" applyBorder="1" applyAlignment="1">
      <alignment vertical="center"/>
      <protection/>
    </xf>
    <xf numFmtId="0" fontId="0" fillId="0" borderId="10" xfId="71" applyFont="1" applyBorder="1" applyAlignment="1">
      <alignment vertical="center"/>
      <protection/>
    </xf>
    <xf numFmtId="3" fontId="0" fillId="0" borderId="10" xfId="71" applyNumberFormat="1" applyFont="1" applyBorder="1" applyAlignment="1">
      <alignment vertical="center"/>
      <protection/>
    </xf>
    <xf numFmtId="0" fontId="0" fillId="0" borderId="23" xfId="71" applyFont="1" applyBorder="1" applyAlignment="1">
      <alignment vertical="center" wrapText="1"/>
      <protection/>
    </xf>
    <xf numFmtId="0" fontId="0" fillId="0" borderId="24" xfId="71" applyFont="1" applyBorder="1" applyAlignment="1">
      <alignment vertical="center"/>
      <protection/>
    </xf>
    <xf numFmtId="0" fontId="0" fillId="0" borderId="25" xfId="71" applyFont="1" applyBorder="1" applyAlignment="1">
      <alignment vertical="center" wrapText="1"/>
      <protection/>
    </xf>
    <xf numFmtId="0" fontId="0" fillId="0" borderId="26" xfId="71" applyFont="1" applyBorder="1" applyAlignment="1">
      <alignment vertical="center" wrapText="1"/>
      <protection/>
    </xf>
    <xf numFmtId="0" fontId="0" fillId="0" borderId="27" xfId="71" applyFont="1" applyBorder="1" applyAlignment="1">
      <alignment vertical="center"/>
      <protection/>
    </xf>
    <xf numFmtId="0" fontId="0" fillId="0" borderId="28" xfId="71" applyFont="1" applyBorder="1" applyAlignment="1">
      <alignment vertical="center"/>
      <protection/>
    </xf>
    <xf numFmtId="0" fontId="0" fillId="0" borderId="29" xfId="71" applyFont="1" applyBorder="1" applyAlignment="1">
      <alignment vertical="center" wrapText="1"/>
      <protection/>
    </xf>
    <xf numFmtId="0" fontId="0" fillId="0" borderId="30" xfId="71" applyFont="1" applyBorder="1" applyAlignment="1">
      <alignment vertical="center" wrapText="1"/>
      <protection/>
    </xf>
    <xf numFmtId="0" fontId="0" fillId="0" borderId="11" xfId="71" applyFont="1" applyBorder="1" applyAlignment="1">
      <alignment vertical="center"/>
      <protection/>
    </xf>
    <xf numFmtId="0" fontId="0" fillId="0" borderId="20" xfId="71" applyFont="1" applyBorder="1" applyAlignment="1">
      <alignment vertical="center"/>
      <protection/>
    </xf>
    <xf numFmtId="0" fontId="0" fillId="0" borderId="31" xfId="71" applyFont="1" applyBorder="1" applyAlignment="1">
      <alignment vertical="center" wrapText="1"/>
      <protection/>
    </xf>
    <xf numFmtId="0" fontId="0" fillId="0" borderId="14" xfId="71" applyFont="1" applyBorder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0" fillId="0" borderId="0" xfId="226" applyFont="1" applyAlignment="1">
      <alignment horizontal="center"/>
      <protection/>
    </xf>
    <xf numFmtId="0" fontId="0" fillId="0" borderId="11" xfId="71" applyFont="1" applyBorder="1" applyAlignment="1">
      <alignment horizontal="center" vertical="center"/>
      <protection/>
    </xf>
    <xf numFmtId="0" fontId="0" fillId="0" borderId="14" xfId="71" applyFont="1" applyBorder="1" applyAlignment="1">
      <alignment horizontal="center" vertical="center"/>
      <protection/>
    </xf>
    <xf numFmtId="0" fontId="0" fillId="0" borderId="19" xfId="71" applyFont="1" applyBorder="1" applyAlignment="1">
      <alignment horizontal="center" vertical="center"/>
      <protection/>
    </xf>
    <xf numFmtId="0" fontId="0" fillId="0" borderId="16" xfId="71" applyFont="1" applyBorder="1" applyAlignment="1">
      <alignment horizontal="center" vertical="center"/>
      <protection/>
    </xf>
    <xf numFmtId="0" fontId="0" fillId="0" borderId="17" xfId="71" applyFont="1" applyBorder="1" applyAlignment="1">
      <alignment horizontal="center" vertical="center"/>
      <protection/>
    </xf>
    <xf numFmtId="0" fontId="0" fillId="0" borderId="10" xfId="71" applyFont="1" applyBorder="1" applyAlignment="1">
      <alignment horizontal="center" vertical="center"/>
      <protection/>
    </xf>
    <xf numFmtId="0" fontId="0" fillId="0" borderId="32" xfId="71" applyFont="1" applyBorder="1" applyAlignment="1">
      <alignment vertical="center" wrapText="1"/>
      <protection/>
    </xf>
    <xf numFmtId="0" fontId="0" fillId="0" borderId="11" xfId="71" applyFont="1" applyBorder="1" applyAlignment="1">
      <alignment vertical="center" wrapText="1"/>
      <protection/>
    </xf>
    <xf numFmtId="0" fontId="0" fillId="0" borderId="14" xfId="71" applyFont="1" applyBorder="1" applyAlignment="1">
      <alignment vertical="center" wrapText="1"/>
      <protection/>
    </xf>
    <xf numFmtId="0" fontId="0" fillId="0" borderId="15" xfId="71" applyFont="1" applyBorder="1" applyAlignment="1">
      <alignment vertical="center"/>
      <protection/>
    </xf>
    <xf numFmtId="0" fontId="0" fillId="0" borderId="20" xfId="71" applyFont="1" applyBorder="1" applyAlignment="1">
      <alignment horizontal="center" vertical="center"/>
      <protection/>
    </xf>
    <xf numFmtId="0" fontId="0" fillId="0" borderId="12" xfId="71" applyFont="1" applyBorder="1" applyAlignment="1">
      <alignment vertical="center"/>
      <protection/>
    </xf>
    <xf numFmtId="0" fontId="0" fillId="0" borderId="13" xfId="71" applyFont="1" applyBorder="1" applyAlignment="1">
      <alignment vertical="center"/>
      <protection/>
    </xf>
    <xf numFmtId="0" fontId="4" fillId="0" borderId="0" xfId="84">
      <alignment/>
      <protection/>
    </xf>
    <xf numFmtId="3" fontId="0" fillId="0" borderId="10" xfId="226" applyNumberFormat="1" applyFont="1" applyBorder="1" applyAlignment="1">
      <alignment vertical="center"/>
      <protection/>
    </xf>
    <xf numFmtId="0" fontId="3" fillId="0" borderId="10" xfId="226" applyFont="1" applyBorder="1" applyAlignment="1">
      <alignment horizontal="center" vertical="center" wrapText="1"/>
      <protection/>
    </xf>
    <xf numFmtId="0" fontId="3" fillId="0" borderId="15" xfId="226" applyFont="1" applyBorder="1" applyAlignment="1">
      <alignment horizontal="center" vertical="center"/>
      <protection/>
    </xf>
    <xf numFmtId="0" fontId="0" fillId="0" borderId="15" xfId="226" applyFont="1" applyBorder="1" applyAlignment="1">
      <alignment vertical="center"/>
      <protection/>
    </xf>
    <xf numFmtId="0" fontId="0" fillId="0" borderId="15" xfId="226" applyFont="1" applyBorder="1" applyAlignment="1">
      <alignment horizontal="center" vertical="center"/>
      <protection/>
    </xf>
    <xf numFmtId="0" fontId="0" fillId="0" borderId="13" xfId="226" applyFont="1" applyBorder="1" applyAlignment="1">
      <alignment vertical="center"/>
      <protection/>
    </xf>
    <xf numFmtId="0" fontId="0" fillId="0" borderId="13" xfId="226" applyFont="1" applyBorder="1" applyAlignment="1">
      <alignment horizontal="center" vertical="center"/>
      <protection/>
    </xf>
    <xf numFmtId="0" fontId="4" fillId="0" borderId="0" xfId="113">
      <alignment/>
      <protection/>
    </xf>
    <xf numFmtId="0" fontId="0" fillId="0" borderId="10" xfId="226" applyFont="1" applyBorder="1" applyAlignment="1">
      <alignment horizontal="center"/>
      <protection/>
    </xf>
    <xf numFmtId="0" fontId="0" fillId="0" borderId="21" xfId="226" applyFont="1" applyBorder="1" applyAlignment="1">
      <alignment horizontal="center" vertical="center"/>
      <protection/>
    </xf>
    <xf numFmtId="0" fontId="0" fillId="0" borderId="20" xfId="226" applyFont="1" applyBorder="1" applyAlignment="1">
      <alignment horizontal="center"/>
      <protection/>
    </xf>
    <xf numFmtId="0" fontId="0" fillId="0" borderId="14" xfId="113" applyFont="1" applyBorder="1">
      <alignment/>
      <protection/>
    </xf>
    <xf numFmtId="0" fontId="0" fillId="0" borderId="19" xfId="113" applyFont="1" applyBorder="1">
      <alignment/>
      <protection/>
    </xf>
    <xf numFmtId="0" fontId="0" fillId="0" borderId="33" xfId="226" applyFont="1" applyBorder="1" applyAlignment="1">
      <alignment horizontal="center" vertical="center" wrapText="1"/>
      <protection/>
    </xf>
    <xf numFmtId="4" fontId="0" fillId="0" borderId="10" xfId="226" applyNumberFormat="1" applyFont="1" applyBorder="1" applyAlignment="1">
      <alignment vertical="center"/>
      <protection/>
    </xf>
    <xf numFmtId="0" fontId="4" fillId="0" borderId="0" xfId="125">
      <alignment/>
      <protection/>
    </xf>
    <xf numFmtId="0" fontId="0" fillId="0" borderId="23" xfId="226" applyFont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/>
      <protection/>
    </xf>
    <xf numFmtId="0" fontId="0" fillId="0" borderId="34" xfId="226" applyFont="1" applyBorder="1" applyAlignment="1">
      <alignment horizontal="center" vertical="center"/>
      <protection/>
    </xf>
    <xf numFmtId="0" fontId="0" fillId="0" borderId="18" xfId="226" applyFont="1" applyBorder="1" applyAlignment="1">
      <alignment horizontal="center" vertical="center"/>
      <protection/>
    </xf>
    <xf numFmtId="0" fontId="0" fillId="0" borderId="29" xfId="226" applyFont="1" applyBorder="1" applyAlignment="1">
      <alignment horizontal="center" vertical="center"/>
      <protection/>
    </xf>
    <xf numFmtId="0" fontId="0" fillId="0" borderId="32" xfId="226" applyFont="1" applyBorder="1" applyAlignment="1">
      <alignment horizontal="center" vertical="center"/>
      <protection/>
    </xf>
    <xf numFmtId="0" fontId="0" fillId="0" borderId="0" xfId="226" applyFont="1" applyAlignment="1">
      <alignment horizontal="center" vertical="center" wrapText="1"/>
      <protection/>
    </xf>
    <xf numFmtId="0" fontId="0" fillId="0" borderId="14" xfId="226" applyFont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 wrapText="1"/>
      <protection/>
    </xf>
    <xf numFmtId="4" fontId="0" fillId="0" borderId="15" xfId="226" applyNumberFormat="1" applyFont="1" applyBorder="1">
      <alignment/>
      <protection/>
    </xf>
    <xf numFmtId="0" fontId="0" fillId="0" borderId="14" xfId="173" applyFont="1" applyBorder="1">
      <alignment/>
      <protection/>
    </xf>
    <xf numFmtId="0" fontId="0" fillId="0" borderId="19" xfId="173" applyFont="1" applyBorder="1">
      <alignment/>
      <protection/>
    </xf>
    <xf numFmtId="0" fontId="3" fillId="0" borderId="12" xfId="226" applyFont="1" applyBorder="1" applyAlignment="1">
      <alignment horizontal="centerContinuous" vertical="center" wrapText="1"/>
      <protection/>
    </xf>
    <xf numFmtId="0" fontId="0" fillId="0" borderId="20" xfId="226" applyFont="1" applyBorder="1" applyAlignment="1">
      <alignment horizontal="centerContinuous" vertical="center" wrapText="1"/>
      <protection/>
    </xf>
    <xf numFmtId="0" fontId="3" fillId="0" borderId="15" xfId="226" applyFont="1" applyBorder="1" applyAlignment="1">
      <alignment horizontal="centerContinuous" vertical="center" wrapText="1"/>
      <protection/>
    </xf>
    <xf numFmtId="0" fontId="3" fillId="0" borderId="33" xfId="226" applyFont="1" applyBorder="1" applyAlignment="1">
      <alignment horizontal="center" vertical="center" wrapText="1"/>
      <protection/>
    </xf>
    <xf numFmtId="0" fontId="0" fillId="0" borderId="18" xfId="173" applyFont="1" applyBorder="1">
      <alignment/>
      <protection/>
    </xf>
    <xf numFmtId="0" fontId="3" fillId="0" borderId="35" xfId="173" applyFont="1" applyBorder="1" applyAlignment="1">
      <alignment horizontal="center"/>
      <protection/>
    </xf>
    <xf numFmtId="0" fontId="3" fillId="0" borderId="13" xfId="173" applyFont="1" applyBorder="1" applyAlignment="1">
      <alignment horizontal="center"/>
      <protection/>
    </xf>
    <xf numFmtId="0" fontId="3" fillId="0" borderId="12" xfId="226" applyFont="1" applyBorder="1" applyAlignment="1">
      <alignment horizontal="center" vertical="center" wrapText="1"/>
      <protection/>
    </xf>
    <xf numFmtId="0" fontId="3" fillId="0" borderId="11" xfId="226" applyFont="1" applyBorder="1" applyAlignment="1">
      <alignment horizontal="center" vertical="center" wrapText="1"/>
      <protection/>
    </xf>
    <xf numFmtId="0" fontId="0" fillId="0" borderId="14" xfId="226" applyFont="1" applyBorder="1" applyAlignment="1">
      <alignment horizontal="center" vertical="center"/>
      <protection/>
    </xf>
    <xf numFmtId="4" fontId="0" fillId="0" borderId="10" xfId="226" applyNumberFormat="1" applyFont="1" applyBorder="1">
      <alignment/>
      <protection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0" xfId="226" applyNumberFormat="1" applyFont="1" applyBorder="1">
      <alignment/>
      <protection/>
    </xf>
    <xf numFmtId="0" fontId="0" fillId="0" borderId="11" xfId="226" applyFont="1" applyBorder="1" applyAlignment="1">
      <alignment horizontal="center" vertical="center"/>
      <protection/>
    </xf>
    <xf numFmtId="0" fontId="0" fillId="0" borderId="37" xfId="226" applyFont="1" applyBorder="1" applyAlignment="1">
      <alignment horizontal="center" vertical="center"/>
      <protection/>
    </xf>
    <xf numFmtId="0" fontId="0" fillId="0" borderId="38" xfId="226" applyFont="1" applyBorder="1" applyAlignment="1">
      <alignment horizontal="center" vertical="center"/>
      <protection/>
    </xf>
    <xf numFmtId="0" fontId="3" fillId="0" borderId="19" xfId="226" applyFont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/>
      <protection/>
    </xf>
    <xf numFmtId="0" fontId="0" fillId="0" borderId="39" xfId="226" applyFont="1" applyBorder="1" applyAlignment="1">
      <alignment horizontal="center" vertical="center"/>
      <protection/>
    </xf>
    <xf numFmtId="0" fontId="0" fillId="0" borderId="40" xfId="226" applyFont="1" applyBorder="1" applyAlignment="1">
      <alignment horizontal="center" vertical="center"/>
      <protection/>
    </xf>
    <xf numFmtId="0" fontId="0" fillId="0" borderId="16" xfId="226" applyFont="1" applyBorder="1" applyAlignment="1">
      <alignment horizontal="center" vertical="center"/>
      <protection/>
    </xf>
    <xf numFmtId="0" fontId="81" fillId="0" borderId="10" xfId="0" applyFont="1" applyBorder="1" applyAlignment="1">
      <alignment/>
    </xf>
    <xf numFmtId="4" fontId="81" fillId="0" borderId="10" xfId="0" applyNumberFormat="1" applyFont="1" applyBorder="1" applyAlignment="1">
      <alignment horizontal="right" indent="1"/>
    </xf>
    <xf numFmtId="0" fontId="81" fillId="0" borderId="14" xfId="0" applyFont="1" applyBorder="1" applyAlignment="1">
      <alignment/>
    </xf>
    <xf numFmtId="4" fontId="81" fillId="0" borderId="14" xfId="0" applyNumberFormat="1" applyFont="1" applyBorder="1" applyAlignment="1">
      <alignment horizontal="right" inden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11" fillId="0" borderId="12" xfId="227" applyFont="1" applyBorder="1" applyAlignment="1">
      <alignment horizontal="center" vertical="center" wrapText="1"/>
      <protection/>
    </xf>
    <xf numFmtId="0" fontId="11" fillId="0" borderId="18" xfId="227" applyFont="1" applyBorder="1" applyAlignment="1">
      <alignment horizontal="center" vertical="center" wrapText="1"/>
      <protection/>
    </xf>
    <xf numFmtId="0" fontId="11" fillId="0" borderId="13" xfId="227" applyFont="1" applyBorder="1" applyAlignment="1">
      <alignment horizontal="center" vertical="center" wrapText="1"/>
      <protection/>
    </xf>
    <xf numFmtId="0" fontId="11" fillId="0" borderId="15" xfId="227" applyFont="1" applyBorder="1" applyAlignment="1">
      <alignment horizontal="center" vertical="center" wrapText="1"/>
      <protection/>
    </xf>
    <xf numFmtId="0" fontId="11" fillId="0" borderId="19" xfId="228" applyFont="1" applyBorder="1">
      <alignment/>
      <protection/>
    </xf>
    <xf numFmtId="0" fontId="11" fillId="34" borderId="15" xfId="227" applyFont="1" applyFill="1" applyBorder="1" applyAlignment="1">
      <alignment horizontal="center" vertical="center" wrapText="1"/>
      <protection/>
    </xf>
    <xf numFmtId="0" fontId="0" fillId="0" borderId="41" xfId="226" applyFont="1" applyBorder="1" applyAlignment="1">
      <alignment horizontal="center" vertical="center" wrapText="1"/>
      <protection/>
    </xf>
    <xf numFmtId="0" fontId="0" fillId="0" borderId="42" xfId="226" applyFont="1" applyBorder="1" applyAlignment="1">
      <alignment horizontal="center" vertical="center" wrapText="1"/>
      <protection/>
    </xf>
    <xf numFmtId="0" fontId="0" fillId="0" borderId="43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 wrapText="1"/>
      <protection/>
    </xf>
    <xf numFmtId="0" fontId="3" fillId="0" borderId="13" xfId="226" applyFont="1" applyBorder="1" applyAlignment="1" quotePrefix="1">
      <alignment horizontal="center" vertical="center" wrapText="1"/>
      <protection/>
    </xf>
    <xf numFmtId="0" fontId="3" fillId="0" borderId="14" xfId="226" applyFont="1" applyBorder="1" applyAlignment="1" quotePrefix="1">
      <alignment horizontal="center" vertical="center" wrapText="1"/>
      <protection/>
    </xf>
    <xf numFmtId="0" fontId="0" fillId="0" borderId="0" xfId="226" applyFont="1" applyAlignment="1">
      <alignment horizontal="left" vertical="center"/>
      <protection/>
    </xf>
    <xf numFmtId="0" fontId="3" fillId="0" borderId="18" xfId="226" applyFont="1" applyBorder="1" applyAlignment="1" quotePrefix="1">
      <alignment horizontal="center" vertical="center" wrapText="1"/>
      <protection/>
    </xf>
    <xf numFmtId="0" fontId="3" fillId="0" borderId="19" xfId="226" applyFont="1" applyBorder="1" applyAlignment="1" quotePrefix="1">
      <alignment horizontal="center" vertical="center" wrapText="1"/>
      <protection/>
    </xf>
    <xf numFmtId="0" fontId="0" fillId="0" borderId="45" xfId="226" applyFont="1" applyBorder="1" applyAlignment="1">
      <alignment horizontal="center" vertical="center"/>
      <protection/>
    </xf>
    <xf numFmtId="0" fontId="0" fillId="0" borderId="46" xfId="226" applyFont="1" applyBorder="1" applyAlignment="1">
      <alignment horizontal="center" vertical="center"/>
      <protection/>
    </xf>
    <xf numFmtId="0" fontId="0" fillId="0" borderId="33" xfId="226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/>
      <protection/>
    </xf>
    <xf numFmtId="4" fontId="0" fillId="0" borderId="14" xfId="226" applyNumberFormat="1" applyFont="1" applyBorder="1">
      <alignment/>
      <protection/>
    </xf>
    <xf numFmtId="4" fontId="0" fillId="0" borderId="11" xfId="226" applyNumberFormat="1" applyFont="1" applyBorder="1">
      <alignment/>
      <protection/>
    </xf>
    <xf numFmtId="4" fontId="0" fillId="0" borderId="0" xfId="226" applyNumberFormat="1" applyFont="1">
      <alignment/>
      <protection/>
    </xf>
    <xf numFmtId="0" fontId="0" fillId="0" borderId="20" xfId="226" applyFont="1" applyBorder="1" applyAlignment="1">
      <alignment horizontal="center" vertical="center"/>
      <protection/>
    </xf>
    <xf numFmtId="4" fontId="0" fillId="35" borderId="10" xfId="226" applyNumberFormat="1" applyFont="1" applyFill="1" applyBorder="1">
      <alignment/>
      <protection/>
    </xf>
    <xf numFmtId="4" fontId="0" fillId="35" borderId="19" xfId="226" applyNumberFormat="1" applyFont="1" applyFill="1" applyBorder="1">
      <alignment/>
      <protection/>
    </xf>
    <xf numFmtId="4" fontId="0" fillId="35" borderId="42" xfId="226" applyNumberFormat="1" applyFont="1" applyFill="1" applyBorder="1">
      <alignment/>
      <protection/>
    </xf>
    <xf numFmtId="4" fontId="0" fillId="35" borderId="44" xfId="226" applyNumberFormat="1" applyFont="1" applyFill="1" applyBorder="1">
      <alignment/>
      <protection/>
    </xf>
    <xf numFmtId="0" fontId="0" fillId="0" borderId="0" xfId="113" applyFont="1">
      <alignment/>
      <protection/>
    </xf>
    <xf numFmtId="0" fontId="0" fillId="0" borderId="10" xfId="226" applyFont="1" applyBorder="1" applyAlignment="1">
      <alignment vertical="center"/>
      <protection/>
    </xf>
    <xf numFmtId="0" fontId="0" fillId="0" borderId="0" xfId="225" applyFont="1">
      <alignment/>
      <protection/>
    </xf>
    <xf numFmtId="0" fontId="0" fillId="36" borderId="0" xfId="215" applyFont="1" applyFill="1">
      <alignment/>
      <protection/>
    </xf>
    <xf numFmtId="0" fontId="3" fillId="0" borderId="14" xfId="226" applyFont="1" applyBorder="1" applyAlignment="1">
      <alignment horizontal="center" vertical="center" wrapText="1"/>
      <protection/>
    </xf>
    <xf numFmtId="0" fontId="3" fillId="0" borderId="35" xfId="226" applyFont="1" applyBorder="1" applyAlignment="1">
      <alignment horizontal="center" vertical="center" wrapText="1"/>
      <protection/>
    </xf>
    <xf numFmtId="0" fontId="0" fillId="0" borderId="35" xfId="226" applyFont="1" applyBorder="1" applyAlignment="1">
      <alignment horizontal="center" vertical="center"/>
      <protection/>
    </xf>
    <xf numFmtId="0" fontId="0" fillId="0" borderId="42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/>
      <protection/>
    </xf>
    <xf numFmtId="3" fontId="0" fillId="37" borderId="10" xfId="226" applyNumberFormat="1" applyFont="1" applyFill="1" applyBorder="1">
      <alignment/>
      <protection/>
    </xf>
    <xf numFmtId="0" fontId="0" fillId="0" borderId="47" xfId="226" applyFont="1" applyBorder="1" applyAlignment="1">
      <alignment horizontal="center" vertical="center" wrapText="1"/>
      <protection/>
    </xf>
    <xf numFmtId="0" fontId="0" fillId="0" borderId="48" xfId="226" applyFont="1" applyBorder="1" applyAlignment="1">
      <alignment horizontal="center" vertical="center"/>
      <protection/>
    </xf>
    <xf numFmtId="0" fontId="0" fillId="0" borderId="48" xfId="226" applyFont="1" applyBorder="1" applyAlignment="1">
      <alignment horizontal="center" vertical="center" wrapText="1"/>
      <protection/>
    </xf>
    <xf numFmtId="0" fontId="0" fillId="0" borderId="49" xfId="226" applyFont="1" applyBorder="1" applyAlignment="1">
      <alignment horizontal="center" vertical="center"/>
      <protection/>
    </xf>
    <xf numFmtId="0" fontId="0" fillId="0" borderId="49" xfId="226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110" applyFont="1">
      <alignment/>
      <protection/>
    </xf>
    <xf numFmtId="4" fontId="0" fillId="34" borderId="10" xfId="226" applyNumberFormat="1" applyFont="1" applyFill="1" applyBorder="1">
      <alignment/>
      <protection/>
    </xf>
    <xf numFmtId="0" fontId="0" fillId="0" borderId="19" xfId="110" applyFont="1" applyBorder="1">
      <alignment/>
      <protection/>
    </xf>
    <xf numFmtId="0" fontId="0" fillId="0" borderId="10" xfId="110" applyFont="1" applyBorder="1" applyAlignment="1">
      <alignment horizontal="center"/>
      <protection/>
    </xf>
    <xf numFmtId="0" fontId="4" fillId="0" borderId="0" xfId="110">
      <alignment/>
      <protection/>
    </xf>
    <xf numFmtId="0" fontId="0" fillId="0" borderId="14" xfId="110" applyFont="1" applyBorder="1">
      <alignment/>
      <protection/>
    </xf>
    <xf numFmtId="0" fontId="0" fillId="0" borderId="18" xfId="110" applyFont="1" applyBorder="1">
      <alignment/>
      <protection/>
    </xf>
    <xf numFmtId="0" fontId="3" fillId="0" borderId="14" xfId="110" applyFont="1" applyBorder="1" applyAlignment="1">
      <alignment horizontal="center"/>
      <protection/>
    </xf>
    <xf numFmtId="0" fontId="3" fillId="0" borderId="13" xfId="110" applyFont="1" applyBorder="1" applyAlignment="1">
      <alignment horizontal="center"/>
      <protection/>
    </xf>
    <xf numFmtId="0" fontId="0" fillId="0" borderId="17" xfId="226" applyFont="1" applyBorder="1" applyAlignment="1">
      <alignment horizontal="center"/>
      <protection/>
    </xf>
    <xf numFmtId="0" fontId="6" fillId="0" borderId="0" xfId="110" applyFont="1">
      <alignment/>
      <protection/>
    </xf>
    <xf numFmtId="0" fontId="0" fillId="38" borderId="0" xfId="215" applyFont="1" applyFill="1">
      <alignment/>
      <protection/>
    </xf>
    <xf numFmtId="0" fontId="0" fillId="38" borderId="0" xfId="110" applyFont="1" applyFill="1">
      <alignment/>
      <protection/>
    </xf>
    <xf numFmtId="0" fontId="19" fillId="0" borderId="0" xfId="212" applyFont="1">
      <alignment/>
      <protection/>
    </xf>
    <xf numFmtId="0" fontId="20" fillId="0" borderId="15" xfId="212" applyFont="1" applyBorder="1" applyAlignment="1">
      <alignment horizontal="centerContinuous" vertical="center" wrapText="1"/>
      <protection/>
    </xf>
    <xf numFmtId="0" fontId="20" fillId="0" borderId="50" xfId="212" applyFont="1" applyBorder="1" applyAlignment="1">
      <alignment horizontal="centerContinuous" vertical="center" wrapText="1"/>
      <protection/>
    </xf>
    <xf numFmtId="0" fontId="20" fillId="0" borderId="20" xfId="212" applyFont="1" applyBorder="1" applyAlignment="1">
      <alignment horizontal="centerContinuous" vertical="center" wrapText="1"/>
      <protection/>
    </xf>
    <xf numFmtId="0" fontId="20" fillId="0" borderId="50" xfId="0" applyFont="1" applyBorder="1" applyAlignment="1">
      <alignment horizontal="centerContinuous" vertical="center" wrapText="1"/>
    </xf>
    <xf numFmtId="0" fontId="0" fillId="0" borderId="5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0" fillId="0" borderId="11" xfId="212" applyFont="1" applyBorder="1" applyAlignment="1">
      <alignment horizontal="center" vertical="center" wrapText="1"/>
      <protection/>
    </xf>
    <xf numFmtId="0" fontId="20" fillId="0" borderId="10" xfId="21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Border="1">
      <alignment/>
      <protection/>
    </xf>
    <xf numFmtId="0" fontId="19" fillId="0" borderId="37" xfId="212" applyFont="1" applyBorder="1">
      <alignment/>
      <protection/>
    </xf>
    <xf numFmtId="2" fontId="0" fillId="0" borderId="0" xfId="0" applyNumberFormat="1" applyAlignment="1">
      <alignment/>
    </xf>
    <xf numFmtId="0" fontId="19" fillId="0" borderId="19" xfId="212" applyFont="1" applyBorder="1" applyAlignment="1">
      <alignment horizontal="center" vertical="center" wrapText="1"/>
      <protection/>
    </xf>
    <xf numFmtId="0" fontId="19" fillId="0" borderId="33" xfId="212" applyFont="1" applyBorder="1">
      <alignment/>
      <protection/>
    </xf>
    <xf numFmtId="0" fontId="19" fillId="0" borderId="29" xfId="212" applyFont="1" applyBorder="1">
      <alignment/>
      <protection/>
    </xf>
    <xf numFmtId="0" fontId="19" fillId="0" borderId="51" xfId="212" applyFont="1" applyBorder="1">
      <alignment/>
      <protection/>
    </xf>
    <xf numFmtId="0" fontId="19" fillId="0" borderId="19" xfId="212" applyFont="1" applyBorder="1" applyAlignment="1" quotePrefix="1">
      <alignment horizontal="center" vertical="center" wrapText="1"/>
      <protection/>
    </xf>
    <xf numFmtId="0" fontId="19" fillId="0" borderId="14" xfId="212" applyFont="1" applyBorder="1" applyAlignment="1">
      <alignment horizontal="center" vertical="center" wrapText="1"/>
      <protection/>
    </xf>
    <xf numFmtId="0" fontId="19" fillId="0" borderId="50" xfId="212" applyFont="1" applyBorder="1">
      <alignment/>
      <protection/>
    </xf>
    <xf numFmtId="0" fontId="19" fillId="0" borderId="43" xfId="212" applyFont="1" applyBorder="1">
      <alignment/>
      <protection/>
    </xf>
    <xf numFmtId="0" fontId="20" fillId="0" borderId="15" xfId="212" applyFont="1" applyBorder="1" applyAlignment="1">
      <alignment horizontal="centerContinuous" vertical="center" wrapText="1"/>
      <protection/>
    </xf>
    <xf numFmtId="0" fontId="20" fillId="0" borderId="50" xfId="212" applyFont="1" applyBorder="1" applyAlignment="1">
      <alignment horizontal="centerContinuous" vertical="center" wrapText="1"/>
      <protection/>
    </xf>
    <xf numFmtId="0" fontId="20" fillId="0" borderId="15" xfId="0" applyFont="1" applyBorder="1" applyAlignment="1">
      <alignment horizontal="centerContinuous" vertical="center" wrapText="1"/>
    </xf>
    <xf numFmtId="0" fontId="0" fillId="0" borderId="5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0" fillId="0" borderId="10" xfId="21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Border="1">
      <alignment/>
      <protection/>
    </xf>
    <xf numFmtId="0" fontId="19" fillId="0" borderId="37" xfId="212" applyFont="1" applyBorder="1">
      <alignment/>
      <protection/>
    </xf>
    <xf numFmtId="0" fontId="19" fillId="0" borderId="51" xfId="212" applyFont="1" applyBorder="1">
      <alignment/>
      <protection/>
    </xf>
    <xf numFmtId="0" fontId="19" fillId="0" borderId="46" xfId="212" applyFont="1" applyBorder="1">
      <alignment/>
      <protection/>
    </xf>
    <xf numFmtId="0" fontId="20" fillId="0" borderId="20" xfId="212" applyFont="1" applyBorder="1" applyAlignment="1">
      <alignment horizontal="centerContinuous" vertical="center" wrapText="1"/>
      <protection/>
    </xf>
    <xf numFmtId="0" fontId="19" fillId="0" borderId="51" xfId="212" applyFont="1" applyBorder="1">
      <alignment/>
      <protection/>
    </xf>
    <xf numFmtId="0" fontId="20" fillId="0" borderId="12" xfId="212" applyFont="1" applyBorder="1" applyAlignment="1">
      <alignment horizontal="centerContinuous" vertical="center" wrapText="1"/>
      <protection/>
    </xf>
    <xf numFmtId="0" fontId="20" fillId="0" borderId="33" xfId="212" applyFont="1" applyBorder="1" applyAlignment="1">
      <alignment horizontal="centerContinuous" vertical="center" wrapText="1"/>
      <protection/>
    </xf>
    <xf numFmtId="0" fontId="20" fillId="0" borderId="50" xfId="0" applyFont="1" applyBorder="1" applyAlignment="1">
      <alignment horizontal="center" vertical="center" wrapText="1"/>
    </xf>
    <xf numFmtId="0" fontId="0" fillId="0" borderId="3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0" fillId="0" borderId="11" xfId="212" applyFont="1" applyBorder="1" applyAlignment="1">
      <alignment horizontal="center" wrapText="1"/>
      <protection/>
    </xf>
    <xf numFmtId="0" fontId="20" fillId="0" borderId="33" xfId="212" applyFont="1" applyBorder="1" applyAlignment="1">
      <alignment horizontal="center" wrapText="1"/>
      <protection/>
    </xf>
    <xf numFmtId="0" fontId="20" fillId="0" borderId="33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4" xfId="212" applyFont="1" applyBorder="1" applyAlignment="1">
      <alignment horizontal="center" vertical="center" wrapText="1"/>
      <protection/>
    </xf>
    <xf numFmtId="0" fontId="20" fillId="0" borderId="35" xfId="212" applyFont="1" applyBorder="1" applyAlignment="1">
      <alignment horizontal="center" vertical="center" wrapText="1"/>
      <protection/>
    </xf>
    <xf numFmtId="0" fontId="20" fillId="0" borderId="3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9" fillId="0" borderId="32" xfId="212" applyFont="1" applyBorder="1">
      <alignment/>
      <protection/>
    </xf>
    <xf numFmtId="0" fontId="20" fillId="0" borderId="15" xfId="212" applyFont="1" applyBorder="1" applyAlignment="1">
      <alignment horizontal="centerContinuous" vertical="center" wrapText="1"/>
      <protection/>
    </xf>
    <xf numFmtId="0" fontId="0" fillId="0" borderId="20" xfId="0" applyBorder="1" applyAlignment="1">
      <alignment/>
    </xf>
    <xf numFmtId="0" fontId="20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212" applyFont="1" applyBorder="1" applyAlignment="1">
      <alignment horizontal="center" vertical="center" wrapText="1"/>
      <protection/>
    </xf>
    <xf numFmtId="0" fontId="20" fillId="0" borderId="0" xfId="212" applyFont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19" fillId="0" borderId="14" xfId="212" applyNumberFormat="1" applyFont="1" applyBorder="1" applyAlignment="1">
      <alignment horizontal="center" vertical="center"/>
      <protection/>
    </xf>
    <xf numFmtId="2" fontId="19" fillId="0" borderId="10" xfId="212" applyNumberFormat="1" applyFont="1" applyBorder="1" applyAlignment="1">
      <alignment horizontal="center" vertical="center"/>
      <protection/>
    </xf>
    <xf numFmtId="0" fontId="19" fillId="0" borderId="51" xfId="212" applyFont="1" applyBorder="1">
      <alignment/>
      <protection/>
    </xf>
    <xf numFmtId="0" fontId="19" fillId="0" borderId="37" xfId="212" applyFont="1" applyBorder="1">
      <alignment/>
      <protection/>
    </xf>
    <xf numFmtId="2" fontId="19" fillId="0" borderId="10" xfId="212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vertical="center" wrapText="1" shrinkToFit="1"/>
    </xf>
    <xf numFmtId="2" fontId="19" fillId="0" borderId="0" xfId="212" applyNumberFormat="1" applyFont="1" applyAlignment="1">
      <alignment vertical="center"/>
      <protection/>
    </xf>
    <xf numFmtId="0" fontId="0" fillId="0" borderId="15" xfId="0" applyBorder="1" applyAlignment="1">
      <alignment/>
    </xf>
    <xf numFmtId="0" fontId="20" fillId="0" borderId="50" xfId="212" applyFont="1" applyBorder="1" applyAlignment="1">
      <alignment horizontal="centerContinuous" vertical="center" wrapText="1"/>
      <protection/>
    </xf>
    <xf numFmtId="0" fontId="20" fillId="0" borderId="15" xfId="212" applyFont="1" applyBorder="1" applyAlignment="1">
      <alignment horizontal="centerContinuous" vertical="center" wrapText="1"/>
      <protection/>
    </xf>
    <xf numFmtId="0" fontId="0" fillId="0" borderId="20" xfId="0" applyBorder="1" applyAlignment="1">
      <alignment/>
    </xf>
    <xf numFmtId="0" fontId="20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20" fillId="0" borderId="18" xfId="212" applyFont="1" applyBorder="1" applyAlignment="1">
      <alignment horizontal="center" vertical="center" wrapText="1"/>
      <protection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212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9" fillId="0" borderId="14" xfId="212" applyFont="1" applyBorder="1">
      <alignment/>
      <protection/>
    </xf>
    <xf numFmtId="0" fontId="19" fillId="0" borderId="19" xfId="212" applyFont="1" applyBorder="1" applyAlignment="1">
      <alignment horizontal="center" vertical="center" wrapText="1"/>
      <protection/>
    </xf>
    <xf numFmtId="0" fontId="19" fillId="0" borderId="11" xfId="212" applyFont="1" applyBorder="1">
      <alignment/>
      <protection/>
    </xf>
    <xf numFmtId="0" fontId="19" fillId="0" borderId="10" xfId="212" applyFont="1" applyBorder="1">
      <alignment/>
      <protection/>
    </xf>
    <xf numFmtId="0" fontId="19" fillId="0" borderId="10" xfId="212" applyFont="1" applyBorder="1">
      <alignment/>
      <protection/>
    </xf>
    <xf numFmtId="0" fontId="0" fillId="0" borderId="0" xfId="0" applyAlignment="1">
      <alignment horizontal="centerContinuous"/>
    </xf>
    <xf numFmtId="0" fontId="20" fillId="0" borderId="11" xfId="212" applyFont="1" applyBorder="1" applyAlignment="1">
      <alignment horizontal="center" vertical="center" wrapText="1"/>
      <protection/>
    </xf>
    <xf numFmtId="0" fontId="20" fillId="0" borderId="10" xfId="21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9" xfId="212" applyFont="1" applyBorder="1" applyAlignment="1">
      <alignment vertical="center" wrapText="1"/>
      <protection/>
    </xf>
    <xf numFmtId="0" fontId="19" fillId="0" borderId="51" xfId="212" applyFont="1" applyBorder="1">
      <alignment/>
      <protection/>
    </xf>
    <xf numFmtId="0" fontId="19" fillId="0" borderId="37" xfId="212" applyFont="1" applyBorder="1">
      <alignment/>
      <protection/>
    </xf>
    <xf numFmtId="0" fontId="19" fillId="0" borderId="14" xfId="212" applyFont="1" applyBorder="1" applyAlignment="1">
      <alignment vertical="center" wrapText="1"/>
      <protection/>
    </xf>
    <xf numFmtId="0" fontId="20" fillId="0" borderId="50" xfId="212" applyFont="1" applyBorder="1" applyAlignment="1">
      <alignment horizontal="centerContinuous" vertical="center" wrapText="1"/>
      <protection/>
    </xf>
    <xf numFmtId="0" fontId="20" fillId="0" borderId="10" xfId="21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19" fillId="0" borderId="51" xfId="212" applyFont="1" applyBorder="1">
      <alignment/>
      <protection/>
    </xf>
    <xf numFmtId="0" fontId="19" fillId="0" borderId="37" xfId="212" applyFont="1" applyBorder="1">
      <alignment/>
      <protection/>
    </xf>
    <xf numFmtId="0" fontId="20" fillId="0" borderId="50" xfId="212" applyFont="1" applyBorder="1" applyAlignment="1">
      <alignment horizontal="centerContinuous" vertical="center" wrapText="1"/>
      <protection/>
    </xf>
    <xf numFmtId="0" fontId="20" fillId="0" borderId="12" xfId="212" applyFont="1" applyBorder="1" applyAlignment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9" xfId="212" applyFont="1" applyBorder="1" applyAlignment="1">
      <alignment horizontal="center" vertical="center" wrapText="1"/>
      <protection/>
    </xf>
    <xf numFmtId="0" fontId="19" fillId="0" borderId="37" xfId="212" applyFont="1" applyBorder="1">
      <alignment/>
      <protection/>
    </xf>
    <xf numFmtId="0" fontId="19" fillId="0" borderId="51" xfId="212" applyFont="1" applyBorder="1">
      <alignment/>
      <protection/>
    </xf>
    <xf numFmtId="0" fontId="20" fillId="0" borderId="12" xfId="212" applyFont="1" applyBorder="1" applyAlignment="1">
      <alignment horizontal="centerContinuous" vertical="center" wrapText="1"/>
      <protection/>
    </xf>
    <xf numFmtId="0" fontId="0" fillId="0" borderId="16" xfId="0" applyBorder="1" applyAlignment="1">
      <alignment/>
    </xf>
    <xf numFmtId="0" fontId="20" fillId="0" borderId="11" xfId="0" applyFont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19" fillId="0" borderId="19" xfId="212" applyFont="1" applyBorder="1" applyAlignment="1">
      <alignment vertical="center" wrapText="1" shrinkToFit="1"/>
      <protection/>
    </xf>
    <xf numFmtId="2" fontId="19" fillId="0" borderId="10" xfId="212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vertical="center" wrapText="1" shrinkToFit="1"/>
    </xf>
    <xf numFmtId="0" fontId="19" fillId="0" borderId="10" xfId="212" applyFont="1" applyBorder="1">
      <alignment/>
      <protection/>
    </xf>
    <xf numFmtId="0" fontId="20" fillId="0" borderId="33" xfId="212" applyFont="1" applyBorder="1" applyAlignment="1">
      <alignment horizontal="centerContinuous" vertical="center" wrapText="1"/>
      <protection/>
    </xf>
    <xf numFmtId="0" fontId="0" fillId="0" borderId="16" xfId="0" applyBorder="1" applyAlignment="1">
      <alignment/>
    </xf>
    <xf numFmtId="0" fontId="20" fillId="0" borderId="11" xfId="0" applyFont="1" applyBorder="1" applyAlignment="1">
      <alignment horizontal="centerContinuous" vertical="center" wrapText="1"/>
    </xf>
    <xf numFmtId="0" fontId="0" fillId="0" borderId="3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1" xfId="212" applyFont="1" applyBorder="1">
      <alignment/>
      <protection/>
    </xf>
    <xf numFmtId="0" fontId="19" fillId="0" borderId="10" xfId="212" applyFont="1" applyBorder="1">
      <alignment/>
      <protection/>
    </xf>
    <xf numFmtId="2" fontId="19" fillId="0" borderId="10" xfId="212" applyNumberFormat="1" applyFont="1" applyBorder="1" applyAlignment="1">
      <alignment horizontal="center" vertical="center"/>
      <protection/>
    </xf>
    <xf numFmtId="0" fontId="19" fillId="0" borderId="14" xfId="212" applyFont="1" applyBorder="1" applyAlignment="1">
      <alignment vertical="center" wrapText="1" shrinkToFit="1"/>
      <protection/>
    </xf>
    <xf numFmtId="0" fontId="0" fillId="39" borderId="0" xfId="0" applyFill="1" applyAlignment="1">
      <alignment/>
    </xf>
    <xf numFmtId="0" fontId="20" fillId="0" borderId="12" xfId="212" applyFont="1" applyBorder="1" applyAlignment="1">
      <alignment horizontal="centerContinuous" vertical="center" wrapText="1"/>
      <protection/>
    </xf>
    <xf numFmtId="0" fontId="20" fillId="0" borderId="50" xfId="212" applyFont="1" applyBorder="1" applyAlignment="1">
      <alignment horizontal="centerContinuous" vertical="center" wrapText="1"/>
      <protection/>
    </xf>
    <xf numFmtId="0" fontId="0" fillId="0" borderId="20" xfId="0" applyBorder="1" applyAlignment="1">
      <alignment/>
    </xf>
    <xf numFmtId="0" fontId="20" fillId="0" borderId="10" xfId="0" applyFont="1" applyBorder="1" applyAlignment="1">
      <alignment horizontal="centerContinuous" vertical="center" wrapText="1"/>
    </xf>
    <xf numFmtId="0" fontId="0" fillId="0" borderId="5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83" fillId="0" borderId="11" xfId="0" applyFont="1" applyBorder="1" applyAlignment="1">
      <alignment horizontal="center"/>
    </xf>
    <xf numFmtId="0" fontId="19" fillId="0" borderId="16" xfId="212" applyFont="1" applyBorder="1">
      <alignment/>
      <protection/>
    </xf>
    <xf numFmtId="0" fontId="19" fillId="0" borderId="20" xfId="212" applyFont="1" applyBorder="1">
      <alignment/>
      <protection/>
    </xf>
    <xf numFmtId="0" fontId="19" fillId="0" borderId="36" xfId="212" applyFont="1" applyBorder="1">
      <alignment/>
      <protection/>
    </xf>
    <xf numFmtId="0" fontId="19" fillId="0" borderId="17" xfId="212" applyFont="1" applyBorder="1">
      <alignment/>
      <protection/>
    </xf>
    <xf numFmtId="0" fontId="84" fillId="0" borderId="3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2" xfId="0" applyFont="1" applyBorder="1" applyAlignment="1">
      <alignment horizontal="center"/>
    </xf>
    <xf numFmtId="0" fontId="19" fillId="0" borderId="17" xfId="212" applyFont="1" applyBorder="1" applyAlignment="1">
      <alignment vertical="center"/>
      <protection/>
    </xf>
    <xf numFmtId="0" fontId="19" fillId="0" borderId="20" xfId="212" applyFont="1" applyBorder="1" applyAlignment="1">
      <alignment vertical="center"/>
      <protection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Continuous" vertical="center"/>
    </xf>
    <xf numFmtId="0" fontId="3" fillId="0" borderId="0" xfId="109" applyFont="1">
      <alignment/>
      <protection/>
    </xf>
    <xf numFmtId="0" fontId="0" fillId="0" borderId="0" xfId="109">
      <alignment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3" fillId="0" borderId="19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0" fontId="3" fillId="0" borderId="13" xfId="109" applyFont="1" applyBorder="1" applyAlignment="1">
      <alignment horizontal="center" vertical="center" wrapText="1"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0" fillId="0" borderId="10" xfId="109" applyBorder="1" applyAlignment="1">
      <alignment horizontal="left" vertical="center" wrapText="1"/>
      <protection/>
    </xf>
    <xf numFmtId="0" fontId="0" fillId="0" borderId="14" xfId="109" applyBorder="1" applyAlignment="1">
      <alignment horizontal="left" vertical="center" wrapText="1"/>
      <protection/>
    </xf>
    <xf numFmtId="0" fontId="3" fillId="0" borderId="33" xfId="109" applyFont="1" applyBorder="1" applyAlignment="1">
      <alignment horizontal="center" vertical="center" wrapText="1"/>
      <protection/>
    </xf>
    <xf numFmtId="0" fontId="3" fillId="0" borderId="0" xfId="109" applyFont="1" applyAlignment="1">
      <alignment horizontal="center" vertical="center" wrapText="1"/>
      <protection/>
    </xf>
    <xf numFmtId="0" fontId="3" fillId="0" borderId="35" xfId="109" applyFont="1" applyBorder="1" applyAlignment="1">
      <alignment horizontal="center" vertical="center" wrapText="1"/>
      <protection/>
    </xf>
    <xf numFmtId="0" fontId="0" fillId="0" borderId="11" xfId="109" applyBorder="1" applyAlignment="1">
      <alignment wrapText="1"/>
      <protection/>
    </xf>
    <xf numFmtId="0" fontId="0" fillId="0" borderId="42" xfId="109" applyBorder="1" applyAlignment="1">
      <alignment wrapText="1"/>
      <protection/>
    </xf>
    <xf numFmtId="0" fontId="0" fillId="0" borderId="10" xfId="109" applyBorder="1" applyAlignment="1">
      <alignment wrapText="1"/>
      <protection/>
    </xf>
    <xf numFmtId="0" fontId="0" fillId="0" borderId="11" xfId="109" applyBorder="1" applyAlignment="1">
      <alignment wrapText="1"/>
      <protection/>
    </xf>
    <xf numFmtId="0" fontId="0" fillId="0" borderId="42" xfId="109" applyBorder="1" applyAlignment="1">
      <alignment wrapText="1"/>
      <protection/>
    </xf>
    <xf numFmtId="0" fontId="25" fillId="0" borderId="0" xfId="226" applyFont="1">
      <alignment/>
      <protection/>
    </xf>
    <xf numFmtId="0" fontId="24" fillId="0" borderId="0" xfId="215" applyFont="1">
      <alignment/>
      <protection/>
    </xf>
    <xf numFmtId="0" fontId="24" fillId="0" borderId="0" xfId="113" applyFont="1">
      <alignment/>
      <protection/>
    </xf>
    <xf numFmtId="0" fontId="24" fillId="0" borderId="0" xfId="226" applyFont="1">
      <alignment/>
      <protection/>
    </xf>
    <xf numFmtId="166" fontId="27" fillId="0" borderId="12" xfId="219" applyFont="1" applyBorder="1" applyAlignment="1">
      <alignment vertical="center"/>
      <protection/>
    </xf>
    <xf numFmtId="167" fontId="7" fillId="0" borderId="33" xfId="219" applyNumberFormat="1" applyFont="1" applyBorder="1" applyAlignment="1">
      <alignment horizontal="center" vertical="center"/>
      <protection/>
    </xf>
    <xf numFmtId="166" fontId="26" fillId="0" borderId="0" xfId="219">
      <alignment/>
      <protection/>
    </xf>
    <xf numFmtId="166" fontId="28" fillId="0" borderId="18" xfId="219" applyFont="1" applyBorder="1" applyAlignment="1">
      <alignment horizontal="left" vertical="center"/>
      <protection/>
    </xf>
    <xf numFmtId="166" fontId="28" fillId="0" borderId="0" xfId="219" applyFont="1" applyAlignment="1">
      <alignment horizontal="left" vertical="center"/>
      <protection/>
    </xf>
    <xf numFmtId="166" fontId="3" fillId="0" borderId="15" xfId="219" applyFont="1" applyBorder="1" applyAlignment="1">
      <alignment horizontal="center" vertical="center"/>
      <protection/>
    </xf>
    <xf numFmtId="15" fontId="29" fillId="40" borderId="10" xfId="219" applyNumberFormat="1" applyFont="1" applyFill="1" applyBorder="1" applyAlignment="1" applyProtection="1">
      <alignment horizontal="center" vertical="center" wrapText="1"/>
      <protection locked="0"/>
    </xf>
    <xf numFmtId="15" fontId="30" fillId="0" borderId="18" xfId="219" applyNumberFormat="1" applyFont="1" applyBorder="1" applyAlignment="1">
      <alignment horizontal="center" vertical="center" wrapText="1"/>
      <protection/>
    </xf>
    <xf numFmtId="15" fontId="30" fillId="0" borderId="10" xfId="219" applyNumberFormat="1" applyFont="1" applyBorder="1" applyAlignment="1">
      <alignment horizontal="center" vertical="center" wrapText="1"/>
      <protection/>
    </xf>
    <xf numFmtId="166" fontId="3" fillId="0" borderId="12" xfId="219" applyFont="1" applyBorder="1" applyAlignment="1">
      <alignment vertical="center"/>
      <protection/>
    </xf>
    <xf numFmtId="166" fontId="7" fillId="0" borderId="11" xfId="219" applyFont="1" applyBorder="1" applyAlignment="1">
      <alignment horizontal="center" vertical="center"/>
      <protection/>
    </xf>
    <xf numFmtId="168" fontId="31" fillId="0" borderId="18" xfId="219" applyNumberFormat="1" applyFont="1" applyBorder="1" applyAlignment="1">
      <alignment horizontal="center" vertical="center"/>
      <protection/>
    </xf>
    <xf numFmtId="166" fontId="3" fillId="0" borderId="18" xfId="219" applyFont="1" applyBorder="1" applyAlignment="1">
      <alignment vertical="center"/>
      <protection/>
    </xf>
    <xf numFmtId="166" fontId="7" fillId="0" borderId="19" xfId="219" applyFont="1" applyBorder="1" applyAlignment="1">
      <alignment horizontal="center" vertical="center"/>
      <protection/>
    </xf>
    <xf numFmtId="166" fontId="32" fillId="0" borderId="18" xfId="219" applyFont="1" applyBorder="1" applyAlignment="1">
      <alignment horizontal="left" vertical="center" indent="1"/>
      <protection/>
    </xf>
    <xf numFmtId="166" fontId="0" fillId="0" borderId="18" xfId="219" applyFont="1" applyBorder="1" applyAlignment="1">
      <alignment horizontal="left" vertical="center" indent="1"/>
      <protection/>
    </xf>
    <xf numFmtId="168" fontId="86" fillId="41" borderId="19" xfId="219" applyNumberFormat="1" applyFont="1" applyFill="1" applyBorder="1" applyAlignment="1">
      <alignment horizontal="center" vertical="center"/>
      <protection/>
    </xf>
    <xf numFmtId="168" fontId="31" fillId="0" borderId="19" xfId="219" applyNumberFormat="1" applyFont="1" applyBorder="1" applyAlignment="1">
      <alignment horizontal="center" vertical="center"/>
      <protection/>
    </xf>
    <xf numFmtId="166" fontId="0" fillId="0" borderId="13" xfId="219" applyFont="1" applyBorder="1" applyAlignment="1">
      <alignment horizontal="left" vertical="center" indent="1"/>
      <protection/>
    </xf>
    <xf numFmtId="168" fontId="86" fillId="41" borderId="14" xfId="219" applyNumberFormat="1" applyFont="1" applyFill="1" applyBorder="1" applyAlignment="1">
      <alignment horizontal="center" vertical="center"/>
      <protection/>
    </xf>
    <xf numFmtId="168" fontId="31" fillId="0" borderId="14" xfId="219" applyNumberFormat="1" applyFont="1" applyBorder="1" applyAlignment="1">
      <alignment horizontal="center" vertical="center"/>
      <protection/>
    </xf>
    <xf numFmtId="166" fontId="87" fillId="41" borderId="19" xfId="219" applyFont="1" applyFill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36" borderId="0" xfId="0" applyFill="1" applyAlignment="1">
      <alignment/>
    </xf>
    <xf numFmtId="0" fontId="19" fillId="36" borderId="0" xfId="212" applyFont="1" applyFill="1">
      <alignment/>
      <protection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33" xfId="212" applyFont="1" applyFill="1" applyBorder="1">
      <alignment/>
      <protection/>
    </xf>
    <xf numFmtId="0" fontId="19" fillId="36" borderId="29" xfId="212" applyFont="1" applyFill="1" applyBorder="1">
      <alignment/>
      <protection/>
    </xf>
    <xf numFmtId="0" fontId="19" fillId="36" borderId="19" xfId="212" applyFont="1" applyFill="1" applyBorder="1" applyAlignment="1" quotePrefix="1">
      <alignment horizontal="center" vertical="center" wrapText="1"/>
      <protection/>
    </xf>
    <xf numFmtId="0" fontId="19" fillId="36" borderId="14" xfId="212" applyFont="1" applyFill="1" applyBorder="1" applyAlignment="1">
      <alignment horizontal="center" vertical="center" wrapText="1"/>
      <protection/>
    </xf>
    <xf numFmtId="0" fontId="19" fillId="36" borderId="50" xfId="212" applyFont="1" applyFill="1" applyBorder="1">
      <alignment/>
      <protection/>
    </xf>
    <xf numFmtId="0" fontId="19" fillId="36" borderId="43" xfId="212" applyFont="1" applyFill="1" applyBorder="1">
      <alignment/>
      <protection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46" xfId="212" applyFont="1" applyFill="1" applyBorder="1">
      <alignment/>
      <protection/>
    </xf>
    <xf numFmtId="0" fontId="0" fillId="36" borderId="19" xfId="0" applyFill="1" applyBorder="1" applyAlignment="1">
      <alignment horizontal="center"/>
    </xf>
    <xf numFmtId="0" fontId="19" fillId="36" borderId="32" xfId="212" applyFont="1" applyFill="1" applyBorder="1">
      <alignment/>
      <protection/>
    </xf>
    <xf numFmtId="0" fontId="20" fillId="36" borderId="0" xfId="0" applyFont="1" applyFill="1" applyAlignment="1">
      <alignment horizontal="center" vertical="center" wrapText="1"/>
    </xf>
    <xf numFmtId="0" fontId="0" fillId="36" borderId="19" xfId="0" applyFill="1" applyBorder="1" applyAlignment="1">
      <alignment/>
    </xf>
    <xf numFmtId="2" fontId="19" fillId="36" borderId="14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37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4" xfId="0" applyFill="1" applyBorder="1" applyAlignment="1">
      <alignment vertical="center" wrapText="1" shrinkToFit="1"/>
    </xf>
    <xf numFmtId="2" fontId="19" fillId="36" borderId="0" xfId="212" applyNumberFormat="1" applyFont="1" applyFill="1" applyAlignment="1">
      <alignment vertical="center"/>
      <protection/>
    </xf>
    <xf numFmtId="0" fontId="0" fillId="36" borderId="19" xfId="0" applyFill="1" applyBorder="1" applyAlignment="1">
      <alignment/>
    </xf>
    <xf numFmtId="0" fontId="19" fillId="36" borderId="14" xfId="212" applyFont="1" applyFill="1" applyBorder="1">
      <alignment/>
      <protection/>
    </xf>
    <xf numFmtId="2" fontId="0" fillId="36" borderId="0" xfId="0" applyNumberFormat="1" applyFill="1" applyAlignment="1">
      <alignment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0" fontId="0" fillId="36" borderId="0" xfId="0" applyFill="1" applyAlignment="1">
      <alignment horizontal="centerContinuous"/>
    </xf>
    <xf numFmtId="0" fontId="0" fillId="36" borderId="11" xfId="0" applyFill="1" applyBorder="1" applyAlignment="1">
      <alignment/>
    </xf>
    <xf numFmtId="0" fontId="19" fillId="36" borderId="19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14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vertical="center" wrapText="1" shrinkToFit="1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9" xfId="0" applyFill="1" applyBorder="1" applyAlignment="1">
      <alignment vertical="center" wrapText="1" shrinkToFit="1"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14" xfId="212" applyFont="1" applyFill="1" applyBorder="1" applyAlignment="1">
      <alignment vertical="center" wrapText="1" shrinkToFit="1"/>
      <protection/>
    </xf>
    <xf numFmtId="0" fontId="19" fillId="36" borderId="20" xfId="212" applyFont="1" applyFill="1" applyBorder="1">
      <alignment/>
      <protection/>
    </xf>
    <xf numFmtId="0" fontId="84" fillId="36" borderId="17" xfId="0" applyFont="1" applyFill="1" applyBorder="1" applyAlignment="1">
      <alignment/>
    </xf>
    <xf numFmtId="0" fontId="19" fillId="36" borderId="20" xfId="212" applyFont="1" applyFill="1" applyBorder="1" applyAlignment="1">
      <alignment vertical="center"/>
      <protection/>
    </xf>
    <xf numFmtId="0" fontId="85" fillId="36" borderId="0" xfId="0" applyFont="1" applyFill="1" applyAlignment="1">
      <alignment horizontal="left" vertical="center"/>
    </xf>
    <xf numFmtId="0" fontId="85" fillId="36" borderId="0" xfId="0" applyFont="1" applyFill="1" applyAlignment="1">
      <alignment horizontal="centerContinuous" vertical="center"/>
    </xf>
    <xf numFmtId="0" fontId="3" fillId="36" borderId="0" xfId="109" applyFont="1" applyFill="1">
      <alignment/>
      <protection/>
    </xf>
    <xf numFmtId="0" fontId="0" fillId="36" borderId="0" xfId="109" applyFill="1">
      <alignment/>
      <protection/>
    </xf>
    <xf numFmtId="0" fontId="37" fillId="36" borderId="0" xfId="226" applyFont="1" applyFill="1">
      <alignment/>
      <protection/>
    </xf>
    <xf numFmtId="0" fontId="38" fillId="36" borderId="0" xfId="226" applyFont="1" applyFill="1">
      <alignment/>
      <protection/>
    </xf>
    <xf numFmtId="0" fontId="19" fillId="36" borderId="0" xfId="0" applyFont="1" applyFill="1" applyAlignment="1">
      <alignment/>
    </xf>
    <xf numFmtId="2" fontId="0" fillId="36" borderId="0" xfId="0" applyNumberFormat="1" applyFill="1" applyAlignment="1">
      <alignment horizontal="center"/>
    </xf>
    <xf numFmtId="170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wrapText="1"/>
      <protection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horizontal="left" vertical="center" wrapText="1"/>
      <protection/>
    </xf>
    <xf numFmtId="0" fontId="19" fillId="36" borderId="14" xfId="109" applyFont="1" applyFill="1" applyBorder="1" applyAlignment="1">
      <alignment horizontal="left" vertical="center" wrapText="1"/>
      <protection/>
    </xf>
    <xf numFmtId="0" fontId="88" fillId="36" borderId="0" xfId="0" applyFont="1" applyFill="1" applyAlignment="1">
      <alignment horizontal="left" vertical="center"/>
    </xf>
    <xf numFmtId="0" fontId="0" fillId="26" borderId="0" xfId="0" applyFill="1" applyAlignment="1">
      <alignment/>
    </xf>
    <xf numFmtId="3" fontId="0" fillId="36" borderId="0" xfId="215" applyNumberFormat="1" applyFont="1" applyFill="1">
      <alignment/>
      <protection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5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4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wrapText="1"/>
      <protection/>
    </xf>
    <xf numFmtId="0" fontId="41" fillId="36" borderId="33" xfId="212" applyFont="1" applyFill="1" applyBorder="1" applyAlignment="1">
      <alignment horizontal="center" wrapText="1"/>
      <protection/>
    </xf>
    <xf numFmtId="0" fontId="41" fillId="36" borderId="33" xfId="0" applyFont="1" applyFill="1" applyBorder="1" applyAlignment="1">
      <alignment horizontal="center" wrapText="1"/>
    </xf>
    <xf numFmtId="0" fontId="41" fillId="36" borderId="11" xfId="0" applyFont="1" applyFill="1" applyBorder="1" applyAlignment="1">
      <alignment horizontal="center" wrapText="1"/>
    </xf>
    <xf numFmtId="0" fontId="41" fillId="36" borderId="14" xfId="212" applyFont="1" applyFill="1" applyBorder="1" applyAlignment="1">
      <alignment horizontal="center" vertical="center" wrapText="1"/>
      <protection/>
    </xf>
    <xf numFmtId="0" fontId="41" fillId="36" borderId="35" xfId="212" applyFont="1" applyFill="1" applyBorder="1" applyAlignment="1">
      <alignment horizontal="center" vertical="center" wrapText="1"/>
      <protection/>
    </xf>
    <xf numFmtId="0" fontId="41" fillId="36" borderId="35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0" xfId="212" applyFont="1" applyFill="1" applyAlignment="1">
      <alignment horizontal="center" vertical="center" wrapText="1"/>
      <protection/>
    </xf>
    <xf numFmtId="0" fontId="41" fillId="36" borderId="0" xfId="0" applyFont="1" applyFill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1" fillId="36" borderId="18" xfId="212" applyFont="1" applyFill="1" applyBorder="1" applyAlignment="1">
      <alignment horizontal="center" vertical="center" wrapText="1"/>
      <protection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36" borderId="13" xfId="212" applyFont="1" applyFill="1" applyBorder="1" applyAlignment="1">
      <alignment horizontal="center" vertical="center" wrapText="1"/>
      <protection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2" fillId="36" borderId="12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0" xfId="0" applyFont="1" applyFill="1" applyAlignment="1">
      <alignment/>
    </xf>
    <xf numFmtId="0" fontId="42" fillId="36" borderId="14" xfId="0" applyFont="1" applyFill="1" applyBorder="1" applyAlignment="1">
      <alignment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89" fillId="36" borderId="11" xfId="0" applyFont="1" applyFill="1" applyBorder="1" applyAlignment="1">
      <alignment horizontal="center"/>
    </xf>
    <xf numFmtId="0" fontId="89" fillId="36" borderId="12" xfId="0" applyFont="1" applyFill="1" applyBorder="1" applyAlignment="1">
      <alignment horizontal="center"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8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3" xfId="109" applyFont="1" applyFill="1" applyBorder="1" applyAlignment="1">
      <alignment horizontal="center" vertical="center" wrapText="1"/>
      <protection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19" fillId="0" borderId="0" xfId="215" applyFont="1">
      <alignment/>
      <protection/>
    </xf>
    <xf numFmtId="0" fontId="19" fillId="36" borderId="0" xfId="215" applyFont="1" applyFill="1">
      <alignment/>
      <protection/>
    </xf>
    <xf numFmtId="0" fontId="19" fillId="0" borderId="0" xfId="224" applyFont="1">
      <alignment/>
      <protection/>
    </xf>
    <xf numFmtId="0" fontId="45" fillId="36" borderId="0" xfId="226" applyFont="1" applyFill="1">
      <alignment/>
      <protection/>
    </xf>
    <xf numFmtId="0" fontId="19" fillId="36" borderId="0" xfId="226" applyFont="1" applyFill="1">
      <alignment/>
      <protection/>
    </xf>
    <xf numFmtId="0" fontId="19" fillId="0" borderId="0" xfId="226" applyFont="1">
      <alignment/>
      <protection/>
    </xf>
    <xf numFmtId="0" fontId="39" fillId="36" borderId="11" xfId="226" applyFont="1" applyFill="1" applyBorder="1" applyAlignment="1">
      <alignment horizontal="center" vertical="center" wrapText="1"/>
      <protection/>
    </xf>
    <xf numFmtId="0" fontId="39" fillId="36" borderId="33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>
      <alignment horizontal="center" vertical="center" wrapText="1"/>
      <protection/>
    </xf>
    <xf numFmtId="0" fontId="39" fillId="36" borderId="35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 quotePrefix="1">
      <alignment horizontal="center" vertical="center" wrapText="1"/>
      <protection/>
    </xf>
    <xf numFmtId="0" fontId="19" fillId="36" borderId="11" xfId="226" applyFont="1" applyFill="1" applyBorder="1" applyAlignment="1">
      <alignment horizontal="center" vertical="center"/>
      <protection/>
    </xf>
    <xf numFmtId="0" fontId="19" fillId="36" borderId="11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/>
      <protection/>
    </xf>
    <xf numFmtId="0" fontId="19" fillId="36" borderId="19" xfId="226" applyFont="1" applyFill="1" applyBorder="1" applyAlignment="1">
      <alignment horizontal="center" vertical="center"/>
      <protection/>
    </xf>
    <xf numFmtId="0" fontId="19" fillId="36" borderId="0" xfId="226" applyFont="1" applyFill="1" applyAlignment="1">
      <alignment horizontal="center" vertical="center"/>
      <protection/>
    </xf>
    <xf numFmtId="0" fontId="19" fillId="36" borderId="19" xfId="226" applyFont="1" applyFill="1" applyBorder="1" applyAlignment="1">
      <alignment horizontal="center" vertical="center" wrapText="1"/>
      <protection/>
    </xf>
    <xf numFmtId="0" fontId="19" fillId="36" borderId="19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/>
      <protection/>
    </xf>
    <xf numFmtId="0" fontId="19" fillId="36" borderId="47" xfId="226" applyFont="1" applyFill="1" applyBorder="1" applyAlignment="1">
      <alignment horizontal="center" vertical="center" wrapText="1"/>
      <protection/>
    </xf>
    <xf numFmtId="0" fontId="19" fillId="36" borderId="11" xfId="226" applyFont="1" applyFill="1" applyBorder="1" applyAlignment="1">
      <alignment horizontal="center"/>
      <protection/>
    </xf>
    <xf numFmtId="0" fontId="19" fillId="36" borderId="33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 wrapText="1"/>
      <protection/>
    </xf>
    <xf numFmtId="0" fontId="19" fillId="36" borderId="10" xfId="0" applyFont="1" applyFill="1" applyBorder="1" applyAlignment="1">
      <alignment horizontal="center"/>
    </xf>
    <xf numFmtId="0" fontId="19" fillId="36" borderId="35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 wrapText="1"/>
      <protection/>
    </xf>
    <xf numFmtId="171" fontId="19" fillId="0" borderId="0" xfId="215" applyNumberFormat="1" applyFont="1">
      <alignment/>
      <protection/>
    </xf>
    <xf numFmtId="0" fontId="39" fillId="36" borderId="19" xfId="226" applyFont="1" applyFill="1" applyBorder="1" applyAlignment="1">
      <alignment horizontal="center" vertical="center" wrapText="1"/>
      <protection/>
    </xf>
    <xf numFmtId="0" fontId="39" fillId="36" borderId="19" xfId="226" applyFont="1" applyFill="1" applyBorder="1" applyAlignment="1" quotePrefix="1">
      <alignment horizontal="center" vertical="center" wrapText="1"/>
      <protection/>
    </xf>
    <xf numFmtId="0" fontId="19" fillId="36" borderId="20" xfId="226" applyFont="1" applyFill="1" applyBorder="1" applyAlignment="1">
      <alignment horizontal="center"/>
      <protection/>
    </xf>
    <xf numFmtId="0" fontId="19" fillId="36" borderId="14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 vertical="center"/>
      <protection/>
    </xf>
    <xf numFmtId="0" fontId="19" fillId="36" borderId="33" xfId="226" applyFont="1" applyFill="1" applyBorder="1" applyAlignment="1">
      <alignment horizontal="center" vertical="center" wrapText="1"/>
      <protection/>
    </xf>
    <xf numFmtId="170" fontId="19" fillId="0" borderId="0" xfId="215" applyNumberFormat="1" applyFont="1">
      <alignment/>
      <protection/>
    </xf>
    <xf numFmtId="0" fontId="19" fillId="36" borderId="10" xfId="226" applyFont="1" applyFill="1" applyBorder="1" applyAlignment="1">
      <alignment horizontal="center" vertical="center" wrapText="1"/>
      <protection/>
    </xf>
    <xf numFmtId="169" fontId="19" fillId="0" borderId="0" xfId="215" applyNumberFormat="1" applyFont="1">
      <alignment/>
      <protection/>
    </xf>
    <xf numFmtId="0" fontId="19" fillId="36" borderId="0" xfId="225" applyFont="1" applyFill="1">
      <alignment/>
      <protection/>
    </xf>
    <xf numFmtId="0" fontId="39" fillId="36" borderId="12" xfId="226" applyFont="1" applyFill="1" applyBorder="1" applyAlignment="1">
      <alignment horizontal="center" vertical="center" wrapText="1"/>
      <protection/>
    </xf>
    <xf numFmtId="0" fontId="39" fillId="36" borderId="18" xfId="226" applyFont="1" applyFill="1" applyBorder="1" applyAlignment="1">
      <alignment horizontal="center" vertical="center" wrapText="1"/>
      <protection/>
    </xf>
    <xf numFmtId="0" fontId="39" fillId="36" borderId="13" xfId="226" applyFont="1" applyFill="1" applyBorder="1" applyAlignment="1" quotePrefix="1">
      <alignment horizontal="center" vertical="center" wrapText="1"/>
      <protection/>
    </xf>
    <xf numFmtId="0" fontId="19" fillId="36" borderId="39" xfId="226" applyFont="1" applyFill="1" applyBorder="1" applyAlignment="1">
      <alignment horizontal="center" vertical="center"/>
      <protection/>
    </xf>
    <xf numFmtId="0" fontId="19" fillId="36" borderId="37" xfId="226" applyFont="1" applyFill="1" applyBorder="1" applyAlignment="1">
      <alignment horizontal="center" vertical="center"/>
      <protection/>
    </xf>
    <xf numFmtId="0" fontId="19" fillId="36" borderId="40" xfId="226" applyFont="1" applyFill="1" applyBorder="1" applyAlignment="1">
      <alignment horizontal="center" vertical="center"/>
      <protection/>
    </xf>
    <xf numFmtId="0" fontId="19" fillId="36" borderId="32" xfId="226" applyFont="1" applyFill="1" applyBorder="1" applyAlignment="1">
      <alignment horizontal="center" vertical="center"/>
      <protection/>
    </xf>
    <xf numFmtId="0" fontId="19" fillId="36" borderId="45" xfId="226" applyFont="1" applyFill="1" applyBorder="1" applyAlignment="1">
      <alignment horizontal="center" vertical="center"/>
      <protection/>
    </xf>
    <xf numFmtId="0" fontId="19" fillId="36" borderId="34" xfId="226" applyFont="1" applyFill="1" applyBorder="1" applyAlignment="1">
      <alignment horizontal="center" vertical="center"/>
      <protection/>
    </xf>
    <xf numFmtId="0" fontId="19" fillId="36" borderId="0" xfId="56" applyFont="1" applyFill="1">
      <alignment/>
      <protection/>
    </xf>
    <xf numFmtId="0" fontId="19" fillId="36" borderId="46" xfId="226" applyFont="1" applyFill="1" applyBorder="1" applyAlignment="1">
      <alignment horizontal="center" vertical="center"/>
      <protection/>
    </xf>
    <xf numFmtId="0" fontId="39" fillId="36" borderId="12" xfId="226" applyFont="1" applyFill="1" applyBorder="1" applyAlignment="1">
      <alignment horizontal="centerContinuous" vertical="center" wrapText="1"/>
      <protection/>
    </xf>
    <xf numFmtId="0" fontId="19" fillId="36" borderId="20" xfId="226" applyFont="1" applyFill="1" applyBorder="1" applyAlignment="1">
      <alignment horizontal="centerContinuous" vertical="center" wrapText="1"/>
      <protection/>
    </xf>
    <xf numFmtId="0" fontId="39" fillId="36" borderId="15" xfId="226" applyFont="1" applyFill="1" applyBorder="1" applyAlignment="1">
      <alignment horizontal="centerContinuous" vertical="center" wrapText="1"/>
      <protection/>
    </xf>
    <xf numFmtId="0" fontId="19" fillId="36" borderId="14" xfId="58" applyFont="1" applyFill="1" applyBorder="1">
      <alignment/>
      <protection/>
    </xf>
    <xf numFmtId="0" fontId="19" fillId="36" borderId="18" xfId="58" applyFont="1" applyFill="1" applyBorder="1">
      <alignment/>
      <protection/>
    </xf>
    <xf numFmtId="0" fontId="39" fillId="36" borderId="14" xfId="58" applyFont="1" applyFill="1" applyBorder="1" applyAlignment="1">
      <alignment horizontal="center"/>
      <protection/>
    </xf>
    <xf numFmtId="0" fontId="39" fillId="36" borderId="13" xfId="58" applyFont="1" applyFill="1" applyBorder="1" applyAlignment="1">
      <alignment horizontal="center"/>
      <protection/>
    </xf>
    <xf numFmtId="0" fontId="19" fillId="36" borderId="12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horizontal="center" vertical="center"/>
      <protection/>
    </xf>
    <xf numFmtId="0" fontId="19" fillId="36" borderId="0" xfId="226" applyFont="1" applyFill="1" applyAlignment="1">
      <alignment horizontal="center"/>
      <protection/>
    </xf>
    <xf numFmtId="0" fontId="39" fillId="36" borderId="10" xfId="226" applyFont="1" applyFill="1" applyBorder="1" applyAlignment="1">
      <alignment horizontal="center" vertical="center" wrapText="1"/>
      <protection/>
    </xf>
    <xf numFmtId="0" fontId="19" fillId="36" borderId="21" xfId="71" applyFont="1" applyFill="1" applyBorder="1" applyAlignment="1">
      <alignment vertical="center" wrapText="1"/>
      <protection/>
    </xf>
    <xf numFmtId="0" fontId="19" fillId="36" borderId="22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horizontal="center" vertical="center"/>
      <protection/>
    </xf>
    <xf numFmtId="0" fontId="19" fillId="36" borderId="10" xfId="71" applyFont="1" applyFill="1" applyBorder="1" applyAlignment="1">
      <alignment vertical="center"/>
      <protection/>
    </xf>
    <xf numFmtId="0" fontId="19" fillId="36" borderId="23" xfId="71" applyFont="1" applyFill="1" applyBorder="1" applyAlignment="1">
      <alignment vertical="center" wrapText="1"/>
      <protection/>
    </xf>
    <xf numFmtId="0" fontId="19" fillId="36" borderId="28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horizontal="center" vertical="center"/>
      <protection/>
    </xf>
    <xf numFmtId="0" fontId="19" fillId="36" borderId="19" xfId="71" applyFont="1" applyFill="1" applyBorder="1" applyAlignment="1">
      <alignment horizontal="center" vertical="center"/>
      <protection/>
    </xf>
    <xf numFmtId="0" fontId="19" fillId="36" borderId="27" xfId="71" applyFont="1" applyFill="1" applyBorder="1" applyAlignment="1">
      <alignment vertical="center"/>
      <protection/>
    </xf>
    <xf numFmtId="0" fontId="19" fillId="36" borderId="24" xfId="71" applyFont="1" applyFill="1" applyBorder="1" applyAlignment="1">
      <alignment vertical="center"/>
      <protection/>
    </xf>
    <xf numFmtId="0" fontId="19" fillId="36" borderId="10" xfId="71" applyFont="1" applyFill="1" applyBorder="1" applyAlignment="1">
      <alignment horizontal="center" vertical="center"/>
      <protection/>
    </xf>
    <xf numFmtId="0" fontId="19" fillId="36" borderId="26" xfId="71" applyFont="1" applyFill="1" applyBorder="1" applyAlignment="1">
      <alignment vertical="center" wrapText="1"/>
      <protection/>
    </xf>
    <xf numFmtId="0" fontId="19" fillId="36" borderId="32" xfId="71" applyFont="1" applyFill="1" applyBorder="1" applyAlignment="1">
      <alignment vertical="center" wrapText="1"/>
      <protection/>
    </xf>
    <xf numFmtId="0" fontId="19" fillId="36" borderId="11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vertical="center" wrapText="1"/>
      <protection/>
    </xf>
    <xf numFmtId="0" fontId="19" fillId="36" borderId="0" xfId="71" applyFont="1" applyFill="1" applyAlignment="1">
      <alignment vertical="center"/>
      <protection/>
    </xf>
    <xf numFmtId="0" fontId="19" fillId="36" borderId="14" xfId="71" applyFont="1" applyFill="1" applyBorder="1" applyAlignment="1">
      <alignment vertical="center" wrapText="1"/>
      <protection/>
    </xf>
    <xf numFmtId="0" fontId="19" fillId="36" borderId="29" xfId="71" applyFont="1" applyFill="1" applyBorder="1" applyAlignment="1">
      <alignment vertical="center" wrapText="1"/>
      <protection/>
    </xf>
    <xf numFmtId="0" fontId="19" fillId="36" borderId="15" xfId="71" applyFont="1" applyFill="1" applyBorder="1" applyAlignment="1">
      <alignment vertical="center"/>
      <protection/>
    </xf>
    <xf numFmtId="0" fontId="19" fillId="36" borderId="20" xfId="71" applyFont="1" applyFill="1" applyBorder="1" applyAlignment="1">
      <alignment horizontal="center" vertical="center"/>
      <protection/>
    </xf>
    <xf numFmtId="0" fontId="19" fillId="36" borderId="25" xfId="71" applyFont="1" applyFill="1" applyBorder="1" applyAlignment="1">
      <alignment vertical="center" wrapText="1"/>
      <protection/>
    </xf>
    <xf numFmtId="0" fontId="19" fillId="36" borderId="30" xfId="71" applyFont="1" applyFill="1" applyBorder="1" applyAlignment="1">
      <alignment vertical="center" wrapText="1"/>
      <protection/>
    </xf>
    <xf numFmtId="0" fontId="19" fillId="36" borderId="12" xfId="71" applyFont="1" applyFill="1" applyBorder="1" applyAlignment="1">
      <alignment vertical="center"/>
      <protection/>
    </xf>
    <xf numFmtId="0" fontId="19" fillId="36" borderId="16" xfId="71" applyFont="1" applyFill="1" applyBorder="1" applyAlignment="1">
      <alignment horizontal="center" vertical="center"/>
      <protection/>
    </xf>
    <xf numFmtId="0" fontId="19" fillId="36" borderId="20" xfId="71" applyFont="1" applyFill="1" applyBorder="1" applyAlignment="1">
      <alignment vertical="center"/>
      <protection/>
    </xf>
    <xf numFmtId="0" fontId="19" fillId="36" borderId="31" xfId="71" applyFont="1" applyFill="1" applyBorder="1" applyAlignment="1">
      <alignment vertical="center" wrapText="1"/>
      <protection/>
    </xf>
    <xf numFmtId="0" fontId="19" fillId="36" borderId="13" xfId="71" applyFont="1" applyFill="1" applyBorder="1" applyAlignment="1">
      <alignment vertical="center"/>
      <protection/>
    </xf>
    <xf numFmtId="0" fontId="19" fillId="36" borderId="17" xfId="71" applyFont="1" applyFill="1" applyBorder="1" applyAlignment="1">
      <alignment horizontal="center" vertical="center"/>
      <protection/>
    </xf>
    <xf numFmtId="0" fontId="19" fillId="36" borderId="0" xfId="84" applyFont="1" applyFill="1">
      <alignment/>
      <protection/>
    </xf>
    <xf numFmtId="0" fontId="39" fillId="36" borderId="15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horizontal="center" vertical="center"/>
      <protection/>
    </xf>
    <xf numFmtId="169" fontId="24" fillId="0" borderId="0" xfId="215" applyNumberFormat="1" applyFont="1">
      <alignment/>
      <protection/>
    </xf>
    <xf numFmtId="170" fontId="24" fillId="0" borderId="0" xfId="215" applyNumberFormat="1" applyFont="1">
      <alignment/>
      <protection/>
    </xf>
    <xf numFmtId="171" fontId="24" fillId="0" borderId="0" xfId="113" applyNumberFormat="1" applyFont="1">
      <alignment/>
      <protection/>
    </xf>
    <xf numFmtId="171" fontId="24" fillId="0" borderId="0" xfId="215" applyNumberFormat="1" applyFont="1">
      <alignment/>
      <protection/>
    </xf>
    <xf numFmtId="169" fontId="24" fillId="0" borderId="0" xfId="226" applyNumberFormat="1" applyFont="1">
      <alignment/>
      <protection/>
    </xf>
    <xf numFmtId="171" fontId="0" fillId="0" borderId="0" xfId="215" applyNumberFormat="1" applyFont="1">
      <alignment/>
      <protection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19" fillId="36" borderId="0" xfId="113" applyFont="1" applyFill="1">
      <alignment/>
      <protection/>
    </xf>
    <xf numFmtId="0" fontId="19" fillId="36" borderId="21" xfId="226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>
      <alignment/>
      <protection/>
    </xf>
    <xf numFmtId="0" fontId="19" fillId="36" borderId="23" xfId="226" applyFont="1" applyFill="1" applyBorder="1" applyAlignment="1">
      <alignment horizontal="center" vertical="center"/>
      <protection/>
    </xf>
    <xf numFmtId="0" fontId="19" fillId="36" borderId="41" xfId="226" applyFont="1" applyFill="1" applyBorder="1" applyAlignment="1">
      <alignment horizontal="center" vertical="center" wrapText="1"/>
      <protection/>
    </xf>
    <xf numFmtId="0" fontId="19" fillId="36" borderId="18" xfId="226" applyFont="1" applyFill="1" applyBorder="1" applyAlignment="1">
      <alignment horizontal="center" vertical="center"/>
      <protection/>
    </xf>
    <xf numFmtId="0" fontId="19" fillId="36" borderId="38" xfId="226" applyFont="1" applyFill="1" applyBorder="1" applyAlignment="1">
      <alignment horizontal="center" vertical="center"/>
      <protection/>
    </xf>
    <xf numFmtId="0" fontId="19" fillId="36" borderId="42" xfId="226" applyFont="1" applyFill="1" applyBorder="1" applyAlignment="1">
      <alignment horizontal="center" vertical="center" wrapText="1"/>
      <protection/>
    </xf>
    <xf numFmtId="0" fontId="19" fillId="36" borderId="29" xfId="226" applyFont="1" applyFill="1" applyBorder="1" applyAlignment="1">
      <alignment horizontal="center" vertical="center"/>
      <protection/>
    </xf>
    <xf numFmtId="0" fontId="19" fillId="36" borderId="43" xfId="226" applyFont="1" applyFill="1" applyBorder="1" applyAlignment="1">
      <alignment horizontal="center" vertical="center"/>
      <protection/>
    </xf>
    <xf numFmtId="0" fontId="19" fillId="36" borderId="44" xfId="226" applyFont="1" applyFill="1" applyBorder="1" applyAlignment="1">
      <alignment horizontal="center" vertical="center" wrapText="1"/>
      <protection/>
    </xf>
    <xf numFmtId="0" fontId="19" fillId="36" borderId="19" xfId="113" applyFont="1" applyFill="1" applyBorder="1">
      <alignment/>
      <protection/>
    </xf>
    <xf numFmtId="0" fontId="19" fillId="36" borderId="14" xfId="113" applyFont="1" applyFill="1" applyBorder="1">
      <alignment/>
      <protection/>
    </xf>
    <xf numFmtId="0" fontId="39" fillId="36" borderId="18" xfId="226" applyFont="1" applyFill="1" applyBorder="1" applyAlignment="1" quotePrefix="1">
      <alignment horizontal="center" vertical="center" wrapText="1"/>
      <protection/>
    </xf>
    <xf numFmtId="0" fontId="19" fillId="36" borderId="0" xfId="226" applyFont="1" applyFill="1" applyAlignment="1">
      <alignment horizontal="left" vertical="center"/>
      <protection/>
    </xf>
    <xf numFmtId="0" fontId="19" fillId="36" borderId="0" xfId="226" applyFont="1" applyFill="1" applyAlignment="1">
      <alignment horizontal="center" vertical="center" wrapText="1"/>
      <protection/>
    </xf>
    <xf numFmtId="4" fontId="19" fillId="36" borderId="0" xfId="226" applyNumberFormat="1" applyFont="1" applyFill="1">
      <alignment/>
      <protection/>
    </xf>
    <xf numFmtId="0" fontId="19" fillId="36" borderId="0" xfId="125" applyFont="1" applyFill="1">
      <alignment/>
      <protection/>
    </xf>
    <xf numFmtId="0" fontId="19" fillId="36" borderId="14" xfId="173" applyFont="1" applyFill="1" applyBorder="1">
      <alignment/>
      <protection/>
    </xf>
    <xf numFmtId="0" fontId="19" fillId="36" borderId="19" xfId="173" applyFont="1" applyFill="1" applyBorder="1">
      <alignment/>
      <protection/>
    </xf>
    <xf numFmtId="0" fontId="19" fillId="36" borderId="18" xfId="173" applyFont="1" applyFill="1" applyBorder="1">
      <alignment/>
      <protection/>
    </xf>
    <xf numFmtId="0" fontId="39" fillId="36" borderId="35" xfId="173" applyFont="1" applyFill="1" applyBorder="1" applyAlignment="1">
      <alignment horizontal="center"/>
      <protection/>
    </xf>
    <xf numFmtId="0" fontId="39" fillId="36" borderId="13" xfId="173" applyFont="1" applyFill="1" applyBorder="1" applyAlignment="1">
      <alignment horizontal="center"/>
      <protection/>
    </xf>
    <xf numFmtId="0" fontId="19" fillId="36" borderId="16" xfId="226" applyFont="1" applyFill="1" applyBorder="1" applyAlignment="1">
      <alignment horizontal="center" vertical="center"/>
      <protection/>
    </xf>
    <xf numFmtId="0" fontId="19" fillId="36" borderId="20" xfId="226" applyFont="1" applyFill="1" applyBorder="1" applyAlignment="1">
      <alignment horizontal="center" vertical="center"/>
      <protection/>
    </xf>
    <xf numFmtId="0" fontId="19" fillId="0" borderId="0" xfId="217" applyFont="1">
      <alignment/>
      <protection/>
    </xf>
    <xf numFmtId="0" fontId="19" fillId="0" borderId="0" xfId="110" applyFont="1">
      <alignment/>
      <protection/>
    </xf>
    <xf numFmtId="0" fontId="19" fillId="0" borderId="0" xfId="218" applyFont="1">
      <alignment/>
      <protection/>
    </xf>
    <xf numFmtId="0" fontId="19" fillId="0" borderId="0" xfId="0" applyFont="1" applyAlignment="1">
      <alignment/>
    </xf>
    <xf numFmtId="0" fontId="19" fillId="36" borderId="0" xfId="110" applyFont="1" applyFill="1">
      <alignment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11" xfId="226" applyFont="1" applyBorder="1" applyAlignment="1">
      <alignment horizontal="center" vertical="center" wrapText="1"/>
      <protection/>
    </xf>
    <xf numFmtId="0" fontId="19" fillId="0" borderId="20" xfId="0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36" borderId="19" xfId="110" applyFont="1" applyFill="1" applyBorder="1">
      <alignment/>
      <protection/>
    </xf>
    <xf numFmtId="0" fontId="19" fillId="0" borderId="14" xfId="0" applyFont="1" applyBorder="1" applyAlignment="1">
      <alignment horizontal="center" vertical="center" wrapText="1"/>
    </xf>
    <xf numFmtId="0" fontId="19" fillId="36" borderId="42" xfId="226" applyFont="1" applyFill="1" applyBorder="1" applyAlignment="1">
      <alignment horizontal="center" vertical="center"/>
      <protection/>
    </xf>
    <xf numFmtId="49" fontId="19" fillId="0" borderId="20" xfId="0" applyNumberFormat="1" applyFont="1" applyBorder="1" applyAlignment="1">
      <alignment horizontal="center" vertical="center" wrapText="1"/>
    </xf>
    <xf numFmtId="0" fontId="19" fillId="36" borderId="10" xfId="110" applyFont="1" applyFill="1" applyBorder="1" applyAlignment="1">
      <alignment horizontal="center"/>
      <protection/>
    </xf>
    <xf numFmtId="0" fontId="19" fillId="36" borderId="44" xfId="226" applyFont="1" applyFill="1" applyBorder="1" applyAlignment="1">
      <alignment horizontal="center" vertical="center"/>
      <protection/>
    </xf>
    <xf numFmtId="170" fontId="19" fillId="0" borderId="0" xfId="110" applyNumberFormat="1" applyFont="1">
      <alignment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9" xfId="226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226" applyFont="1" applyBorder="1" applyAlignment="1">
      <alignment horizontal="center" vertical="center" wrapText="1"/>
      <protection/>
    </xf>
    <xf numFmtId="4" fontId="19" fillId="0" borderId="2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36" borderId="14" xfId="110" applyFont="1" applyFill="1" applyBorder="1">
      <alignment/>
      <protection/>
    </xf>
    <xf numFmtId="172" fontId="19" fillId="0" borderId="0" xfId="110" applyNumberFormat="1" applyFont="1">
      <alignment/>
      <protection/>
    </xf>
    <xf numFmtId="0" fontId="19" fillId="36" borderId="18" xfId="110" applyFont="1" applyFill="1" applyBorder="1">
      <alignment/>
      <protection/>
    </xf>
    <xf numFmtId="169" fontId="19" fillId="0" borderId="0" xfId="110" applyNumberFormat="1" applyFont="1">
      <alignment/>
      <protection/>
    </xf>
    <xf numFmtId="0" fontId="39" fillId="36" borderId="14" xfId="110" applyFont="1" applyFill="1" applyBorder="1" applyAlignment="1">
      <alignment horizontal="center"/>
      <protection/>
    </xf>
    <xf numFmtId="0" fontId="39" fillId="36" borderId="13" xfId="110" applyFont="1" applyFill="1" applyBorder="1" applyAlignment="1">
      <alignment horizontal="center"/>
      <protection/>
    </xf>
    <xf numFmtId="0" fontId="19" fillId="36" borderId="17" xfId="226" applyFont="1" applyFill="1" applyBorder="1" applyAlignment="1">
      <alignment horizontal="center"/>
      <protection/>
    </xf>
    <xf numFmtId="171" fontId="19" fillId="0" borderId="0" xfId="110" applyNumberFormat="1" applyFont="1">
      <alignment/>
      <protection/>
    </xf>
    <xf numFmtId="0" fontId="19" fillId="36" borderId="0" xfId="212" applyFont="1" applyFill="1" applyAlignment="1">
      <alignment horizontal="center" vertical="center" wrapText="1"/>
      <protection/>
    </xf>
    <xf numFmtId="0" fontId="0" fillId="36" borderId="0" xfId="0" applyFill="1" applyAlignment="1">
      <alignment vertical="center" wrapText="1" shrinkToFit="1"/>
    </xf>
    <xf numFmtId="2" fontId="19" fillId="36" borderId="0" xfId="212" applyNumberFormat="1" applyFont="1" applyFill="1" applyAlignment="1">
      <alignment horizontal="center" vertical="center"/>
      <protection/>
    </xf>
    <xf numFmtId="0" fontId="19" fillId="36" borderId="0" xfId="212" applyFont="1" applyFill="1" applyAlignment="1">
      <alignment vertical="center" wrapText="1"/>
      <protection/>
    </xf>
    <xf numFmtId="0" fontId="19" fillId="36" borderId="0" xfId="109" applyFont="1" applyFill="1" applyAlignment="1">
      <alignment wrapText="1"/>
      <protection/>
    </xf>
    <xf numFmtId="165" fontId="19" fillId="36" borderId="0" xfId="109" applyNumberFormat="1" applyFont="1" applyFill="1">
      <alignment/>
      <protection/>
    </xf>
    <xf numFmtId="0" fontId="19" fillId="36" borderId="10" xfId="109" applyFont="1" applyFill="1" applyBorder="1" applyAlignment="1">
      <alignment horizontal="center" vertical="center" wrapText="1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0" xfId="212" applyFont="1" applyFill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4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16" xfId="212" applyFont="1" applyFill="1" applyBorder="1" applyAlignment="1">
      <alignment horizontal="center"/>
      <protection/>
    </xf>
    <xf numFmtId="0" fontId="19" fillId="36" borderId="36" xfId="212" applyFont="1" applyFill="1" applyBorder="1" applyAlignment="1">
      <alignment horizontal="center"/>
      <protection/>
    </xf>
    <xf numFmtId="0" fontId="19" fillId="36" borderId="17" xfId="212" applyFont="1" applyFill="1" applyBorder="1" applyAlignment="1">
      <alignment horizontal="center"/>
      <protection/>
    </xf>
    <xf numFmtId="0" fontId="84" fillId="36" borderId="36" xfId="0" applyFont="1" applyFill="1" applyBorder="1" applyAlignment="1">
      <alignment horizontal="center"/>
    </xf>
    <xf numFmtId="0" fontId="84" fillId="36" borderId="17" xfId="0" applyFont="1" applyFill="1" applyBorder="1" applyAlignment="1">
      <alignment horizontal="center"/>
    </xf>
    <xf numFmtId="0" fontId="84" fillId="36" borderId="16" xfId="0" applyFont="1" applyFill="1" applyBorder="1" applyAlignment="1">
      <alignment horizontal="center"/>
    </xf>
    <xf numFmtId="0" fontId="19" fillId="36" borderId="17" xfId="212" applyFont="1" applyFill="1" applyBorder="1" applyAlignment="1">
      <alignment horizontal="center" vertical="center"/>
      <protection/>
    </xf>
    <xf numFmtId="2" fontId="19" fillId="36" borderId="11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42" fillId="36" borderId="11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4" xfId="109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 vertical="center"/>
      <protection/>
    </xf>
    <xf numFmtId="0" fontId="19" fillId="36" borderId="0" xfId="0" applyFont="1" applyFill="1" applyAlignment="1">
      <alignment horizontal="center"/>
    </xf>
    <xf numFmtId="0" fontId="19" fillId="36" borderId="14" xfId="58" applyFont="1" applyFill="1" applyBorder="1" applyAlignment="1">
      <alignment horizontal="center"/>
      <protection/>
    </xf>
    <xf numFmtId="3" fontId="19" fillId="36" borderId="10" xfId="71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/>
      <protection/>
    </xf>
    <xf numFmtId="0" fontId="19" fillId="36" borderId="0" xfId="110" applyFont="1" applyFill="1" applyAlignment="1">
      <alignment horizontal="center"/>
      <protection/>
    </xf>
    <xf numFmtId="4" fontId="19" fillId="36" borderId="0" xfId="110" applyNumberFormat="1" applyFont="1" applyFill="1">
      <alignment/>
      <protection/>
    </xf>
    <xf numFmtId="165" fontId="19" fillId="36" borderId="0" xfId="109" applyNumberFormat="1" applyFont="1" applyFill="1" applyAlignment="1">
      <alignment horizontal="center"/>
      <protection/>
    </xf>
    <xf numFmtId="0" fontId="19" fillId="36" borderId="0" xfId="109" applyFont="1" applyFill="1" applyAlignment="1">
      <alignment horizontal="left" vertical="center" wrapText="1"/>
      <protection/>
    </xf>
    <xf numFmtId="3" fontId="19" fillId="36" borderId="0" xfId="226" applyNumberFormat="1" applyFont="1" applyFill="1" applyAlignment="1">
      <alignment horizontal="center"/>
      <protection/>
    </xf>
    <xf numFmtId="0" fontId="19" fillId="36" borderId="0" xfId="58" applyFont="1" applyFill="1">
      <alignment/>
      <protection/>
    </xf>
    <xf numFmtId="0" fontId="19" fillId="36" borderId="14" xfId="110" applyFont="1" applyFill="1" applyBorder="1" applyAlignment="1">
      <alignment horizontal="center"/>
      <protection/>
    </xf>
    <xf numFmtId="4" fontId="81" fillId="36" borderId="14" xfId="0" applyNumberFormat="1" applyFont="1" applyFill="1" applyBorder="1" applyAlignment="1">
      <alignment horizontal="center"/>
    </xf>
    <xf numFmtId="4" fontId="19" fillId="36" borderId="19" xfId="226" applyNumberFormat="1" applyFont="1" applyFill="1" applyBorder="1" applyAlignment="1">
      <alignment horizontal="center"/>
      <protection/>
    </xf>
    <xf numFmtId="4" fontId="19" fillId="36" borderId="42" xfId="226" applyNumberFormat="1" applyFont="1" applyFill="1" applyBorder="1" applyAlignment="1">
      <alignment horizontal="center"/>
      <protection/>
    </xf>
    <xf numFmtId="4" fontId="19" fillId="36" borderId="44" xfId="226" applyNumberFormat="1" applyFont="1" applyFill="1" applyBorder="1" applyAlignment="1">
      <alignment horizontal="center"/>
      <protection/>
    </xf>
    <xf numFmtId="0" fontId="19" fillId="36" borderId="14" xfId="173" applyFont="1" applyFill="1" applyBorder="1" applyAlignment="1">
      <alignment horizontal="center"/>
      <protection/>
    </xf>
    <xf numFmtId="0" fontId="19" fillId="36" borderId="0" xfId="212" applyFont="1" applyFill="1" applyAlignment="1">
      <alignment horizontal="center" vertical="center" wrapText="1" shrinkToFit="1"/>
      <protection/>
    </xf>
    <xf numFmtId="0" fontId="84" fillId="36" borderId="0" xfId="0" applyFont="1" applyFill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19" fillId="5" borderId="11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4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172" fontId="19" fillId="5" borderId="14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0" fontId="19" fillId="0" borderId="0" xfId="212" applyFont="1" applyAlignment="1">
      <alignment vertical="center" wrapText="1" shrinkToFit="1"/>
      <protection/>
    </xf>
    <xf numFmtId="0" fontId="84" fillId="0" borderId="0" xfId="0" applyFont="1" applyAlignment="1">
      <alignment/>
    </xf>
    <xf numFmtId="2" fontId="19" fillId="0" borderId="0" xfId="212" applyNumberFormat="1" applyFont="1" applyAlignment="1">
      <alignment horizontal="center" vertical="center"/>
      <protection/>
    </xf>
    <xf numFmtId="165" fontId="0" fillId="5" borderId="10" xfId="109" applyNumberFormat="1" applyFill="1" applyBorder="1">
      <alignment/>
      <protection/>
    </xf>
    <xf numFmtId="165" fontId="0" fillId="5" borderId="10" xfId="109" applyNumberFormat="1" applyFill="1" applyBorder="1">
      <alignment/>
      <protection/>
    </xf>
    <xf numFmtId="165" fontId="0" fillId="5" borderId="14" xfId="109" applyNumberFormat="1" applyFill="1" applyBorder="1">
      <alignment/>
      <protection/>
    </xf>
    <xf numFmtId="0" fontId="3" fillId="36" borderId="0" xfId="0" applyFont="1" applyFill="1" applyAlignment="1">
      <alignment horizontal="center" vertical="center"/>
    </xf>
    <xf numFmtId="3" fontId="19" fillId="36" borderId="0" xfId="215" applyNumberFormat="1" applyFont="1" applyFill="1">
      <alignment/>
      <protection/>
    </xf>
    <xf numFmtId="0" fontId="19" fillId="41" borderId="0" xfId="215" applyFont="1" applyFill="1">
      <alignment/>
      <protection/>
    </xf>
    <xf numFmtId="4" fontId="19" fillId="36" borderId="0" xfId="215" applyNumberFormat="1" applyFont="1" applyFill="1">
      <alignment/>
      <protection/>
    </xf>
    <xf numFmtId="173" fontId="19" fillId="36" borderId="0" xfId="215" applyNumberFormat="1" applyFont="1" applyFill="1">
      <alignment/>
      <protection/>
    </xf>
    <xf numFmtId="0" fontId="81" fillId="0" borderId="10" xfId="0" applyFont="1" applyBorder="1" applyAlignment="1">
      <alignment/>
    </xf>
    <xf numFmtId="4" fontId="81" fillId="0" borderId="10" xfId="0" applyNumberFormat="1" applyFont="1" applyBorder="1" applyAlignment="1">
      <alignment horizontal="right" indent="1"/>
    </xf>
    <xf numFmtId="3" fontId="0" fillId="42" borderId="10" xfId="226" applyNumberFormat="1" applyFont="1" applyFill="1" applyBorder="1">
      <alignment/>
      <protection/>
    </xf>
    <xf numFmtId="4" fontId="0" fillId="42" borderId="10" xfId="226" applyNumberFormat="1" applyFont="1" applyFill="1" applyBorder="1">
      <alignment/>
      <protection/>
    </xf>
    <xf numFmtId="0" fontId="41" fillId="36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3" fontId="19" fillId="42" borderId="10" xfId="226" applyNumberFormat="1" applyFont="1" applyFill="1" applyBorder="1" applyAlignment="1">
      <alignment horizontal="center"/>
      <protection/>
    </xf>
    <xf numFmtId="4" fontId="19" fillId="0" borderId="33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226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14" xfId="226" applyFont="1" applyBorder="1" applyAlignment="1">
      <alignment horizontal="center" vertical="center" wrapText="1"/>
      <protection/>
    </xf>
    <xf numFmtId="2" fontId="19" fillId="5" borderId="14" xfId="212" applyNumberFormat="1" applyFont="1" applyFill="1" applyBorder="1" applyAlignment="1">
      <alignment horizontal="center" vertical="center"/>
      <protection/>
    </xf>
    <xf numFmtId="2" fontId="19" fillId="5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horizontal="center" vertical="center"/>
      <protection/>
    </xf>
    <xf numFmtId="2" fontId="19" fillId="13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43" borderId="14" xfId="212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9" xfId="212" applyFont="1" applyBorder="1" applyAlignment="1">
      <alignment horizontal="center" vertical="center" wrapText="1"/>
      <protection/>
    </xf>
    <xf numFmtId="0" fontId="41" fillId="0" borderId="14" xfId="212" applyFont="1" applyBorder="1" applyAlignment="1">
      <alignment horizontal="center" vertical="center" wrapText="1"/>
      <protection/>
    </xf>
    <xf numFmtId="0" fontId="89" fillId="0" borderId="11" xfId="0" applyFont="1" applyBorder="1" applyAlignment="1">
      <alignment horizontal="center"/>
    </xf>
    <xf numFmtId="0" fontId="42" fillId="0" borderId="20" xfId="0" applyFont="1" applyBorder="1" applyAlignment="1">
      <alignment horizontal="centerContinuous"/>
    </xf>
    <xf numFmtId="0" fontId="41" fillId="0" borderId="10" xfId="0" applyFont="1" applyBorder="1" applyAlignment="1">
      <alignment horizontal="center" vertical="center" wrapText="1"/>
    </xf>
    <xf numFmtId="2" fontId="19" fillId="0" borderId="10" xfId="212" applyNumberFormat="1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2" fontId="19" fillId="0" borderId="10" xfId="212" applyNumberFormat="1" applyFont="1" applyBorder="1" applyAlignment="1">
      <alignment horizontal="center" vertical="center"/>
      <protection/>
    </xf>
    <xf numFmtId="0" fontId="41" fillId="0" borderId="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68" fontId="47" fillId="0" borderId="19" xfId="0" applyNumberFormat="1" applyFont="1" applyBorder="1" applyAlignment="1" applyProtection="1">
      <alignment horizontal="center" vertical="center"/>
      <protection locked="0"/>
    </xf>
    <xf numFmtId="168" fontId="47" fillId="0" borderId="14" xfId="0" applyNumberFormat="1" applyFont="1" applyBorder="1" applyAlignment="1" applyProtection="1">
      <alignment horizontal="center" vertical="center"/>
      <protection locked="0"/>
    </xf>
    <xf numFmtId="0" fontId="90" fillId="0" borderId="0" xfId="228" applyFont="1" applyAlignment="1">
      <alignment horizontal="left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9" xfId="212" applyFont="1" applyBorder="1" applyAlignment="1">
      <alignment horizontal="center" vertical="center" wrapText="1" shrinkToFit="1"/>
      <protection/>
    </xf>
    <xf numFmtId="0" fontId="19" fillId="0" borderId="14" xfId="212" applyFont="1" applyBorder="1" applyAlignment="1">
      <alignment horizontal="center" vertical="center" wrapText="1" shrinkToFit="1"/>
      <protection/>
    </xf>
    <xf numFmtId="0" fontId="20" fillId="0" borderId="50" xfId="0" applyFont="1" applyBorder="1" applyAlignment="1">
      <alignment horizontal="center" vertical="center" wrapText="1"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88" fillId="36" borderId="0" xfId="0" applyFont="1" applyFill="1" applyAlignment="1">
      <alignment horizontal="left" vertical="center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19" fillId="36" borderId="14" xfId="212" applyFont="1" applyFill="1" applyBorder="1" applyAlignment="1">
      <alignment horizontal="center" vertical="center" wrapText="1" shrinkToFit="1"/>
      <protection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91" fillId="36" borderId="0" xfId="0" applyFont="1" applyFill="1" applyAlignment="1">
      <alignment horizontal="left" vertical="center"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4" fillId="36" borderId="50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left"/>
    </xf>
    <xf numFmtId="0" fontId="82" fillId="36" borderId="12" xfId="0" applyFont="1" applyFill="1" applyBorder="1" applyAlignment="1">
      <alignment horizontal="center" vertical="center" wrapText="1"/>
    </xf>
    <xf numFmtId="0" fontId="82" fillId="36" borderId="33" xfId="0" applyFont="1" applyFill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left"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  <xf numFmtId="0" fontId="39" fillId="36" borderId="15" xfId="110" applyFont="1" applyFill="1" applyBorder="1" applyAlignment="1">
      <alignment horizontal="center" wrapText="1"/>
      <protection/>
    </xf>
    <xf numFmtId="0" fontId="39" fillId="36" borderId="20" xfId="110" applyFont="1" applyFill="1" applyBorder="1" applyAlignment="1">
      <alignment horizontal="center" wrapText="1"/>
      <protection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5 2" xfId="60"/>
    <cellStyle name="Normal 15 2 2" xfId="61"/>
    <cellStyle name="Normal 15 3" xfId="62"/>
    <cellStyle name="Normal 15 3 2" xfId="63"/>
    <cellStyle name="Normal 15 4" xfId="64"/>
    <cellStyle name="Normal 15 4 2" xfId="65"/>
    <cellStyle name="Normal 15 5" xfId="66"/>
    <cellStyle name="Normal 15 5 2" xfId="67"/>
    <cellStyle name="Normal 15 6" xfId="68"/>
    <cellStyle name="Normal 15 6 2" xfId="69"/>
    <cellStyle name="Normal 15 7" xfId="70"/>
    <cellStyle name="Normal 16" xfId="71"/>
    <cellStyle name="Normal 16 2" xfId="72"/>
    <cellStyle name="Normal 16 2 2" xfId="73"/>
    <cellStyle name="Normal 16 3" xfId="74"/>
    <cellStyle name="Normal 16 3 2" xfId="75"/>
    <cellStyle name="Normal 16 4" xfId="76"/>
    <cellStyle name="Normal 16 4 2" xfId="77"/>
    <cellStyle name="Normal 16 5" xfId="78"/>
    <cellStyle name="Normal 16 5 2" xfId="79"/>
    <cellStyle name="Normal 16 6" xfId="80"/>
    <cellStyle name="Normal 16 6 2" xfId="81"/>
    <cellStyle name="Normal 16 7" xfId="82"/>
    <cellStyle name="Normal 17" xfId="83"/>
    <cellStyle name="Normal 18" xfId="84"/>
    <cellStyle name="Normal 18 2" xfId="85"/>
    <cellStyle name="Normal 18 2 2" xfId="86"/>
    <cellStyle name="Normal 18 3" xfId="87"/>
    <cellStyle name="Normal 18 3 2" xfId="88"/>
    <cellStyle name="Normal 18 4" xfId="89"/>
    <cellStyle name="Normal 18 4 2" xfId="90"/>
    <cellStyle name="Normal 18 5" xfId="91"/>
    <cellStyle name="Normal 18 5 2" xfId="92"/>
    <cellStyle name="Normal 18 6" xfId="93"/>
    <cellStyle name="Normal 18 6 2" xfId="94"/>
    <cellStyle name="Normal 18 7" xfId="95"/>
    <cellStyle name="Normal 19" xfId="96"/>
    <cellStyle name="Normal 19 2" xfId="97"/>
    <cellStyle name="Normal 19 2 2" xfId="98"/>
    <cellStyle name="Normal 19 3" xfId="99"/>
    <cellStyle name="Normal 19 3 2" xfId="100"/>
    <cellStyle name="Normal 19 4" xfId="101"/>
    <cellStyle name="Normal 19 4 2" xfId="102"/>
    <cellStyle name="Normal 19 5" xfId="103"/>
    <cellStyle name="Normal 19 5 2" xfId="104"/>
    <cellStyle name="Normal 19 6" xfId="105"/>
    <cellStyle name="Normal 19 6 2" xfId="106"/>
    <cellStyle name="Normal 19 7" xfId="107"/>
    <cellStyle name="Normal 2" xfId="108"/>
    <cellStyle name="Normal 2 2" xfId="109"/>
    <cellStyle name="Normal 2 2 2" xfId="110"/>
    <cellStyle name="Normal 2 3" xfId="111"/>
    <cellStyle name="Normal 2 4" xfId="112"/>
    <cellStyle name="Normal 20" xfId="113"/>
    <cellStyle name="Normal 20 2" xfId="114"/>
    <cellStyle name="Normal 20 2 2" xfId="115"/>
    <cellStyle name="Normal 20 3" xfId="116"/>
    <cellStyle name="Normal 20 3 2" xfId="117"/>
    <cellStyle name="Normal 20 4" xfId="118"/>
    <cellStyle name="Normal 20 4 2" xfId="119"/>
    <cellStyle name="Normal 20 5" xfId="120"/>
    <cellStyle name="Normal 20 5 2" xfId="121"/>
    <cellStyle name="Normal 20 6" xfId="122"/>
    <cellStyle name="Normal 20 6 2" xfId="123"/>
    <cellStyle name="Normal 20 7" xfId="124"/>
    <cellStyle name="Normal 21" xfId="125"/>
    <cellStyle name="Normal 21 2" xfId="126"/>
    <cellStyle name="Normal 21 2 2" xfId="127"/>
    <cellStyle name="Normal 21 3" xfId="128"/>
    <cellStyle name="Normal 21 3 2" xfId="129"/>
    <cellStyle name="Normal 21 4" xfId="130"/>
    <cellStyle name="Normal 21 4 2" xfId="131"/>
    <cellStyle name="Normal 21 5" xfId="132"/>
    <cellStyle name="Normal 21 5 2" xfId="133"/>
    <cellStyle name="Normal 21 6" xfId="134"/>
    <cellStyle name="Normal 21 6 2" xfId="135"/>
    <cellStyle name="Normal 21 7" xfId="136"/>
    <cellStyle name="Normal 22" xfId="137"/>
    <cellStyle name="Normal 22 2" xfId="138"/>
    <cellStyle name="Normal 22 2 2" xfId="139"/>
    <cellStyle name="Normal 22 3" xfId="140"/>
    <cellStyle name="Normal 22 3 2" xfId="141"/>
    <cellStyle name="Normal 22 4" xfId="142"/>
    <cellStyle name="Normal 22 4 2" xfId="143"/>
    <cellStyle name="Normal 22 5" xfId="144"/>
    <cellStyle name="Normal 22 5 2" xfId="145"/>
    <cellStyle name="Normal 22 6" xfId="146"/>
    <cellStyle name="Normal 22 6 2" xfId="147"/>
    <cellStyle name="Normal 22 7" xfId="148"/>
    <cellStyle name="Normal 23" xfId="149"/>
    <cellStyle name="Normal 23 2" xfId="150"/>
    <cellStyle name="Normal 23 2 2" xfId="151"/>
    <cellStyle name="Normal 23 3" xfId="152"/>
    <cellStyle name="Normal 23 3 2" xfId="153"/>
    <cellStyle name="Normal 23 4" xfId="154"/>
    <cellStyle name="Normal 23 4 2" xfId="155"/>
    <cellStyle name="Normal 23 5" xfId="156"/>
    <cellStyle name="Normal 23 5 2" xfId="157"/>
    <cellStyle name="Normal 23 6" xfId="158"/>
    <cellStyle name="Normal 23 6 2" xfId="159"/>
    <cellStyle name="Normal 23 7" xfId="160"/>
    <cellStyle name="Normal 24" xfId="161"/>
    <cellStyle name="Normal 24 2" xfId="162"/>
    <cellStyle name="Normal 24 2 2" xfId="163"/>
    <cellStyle name="Normal 24 3" xfId="164"/>
    <cellStyle name="Normal 24 3 2" xfId="165"/>
    <cellStyle name="Normal 24 4" xfId="166"/>
    <cellStyle name="Normal 24 4 2" xfId="167"/>
    <cellStyle name="Normal 24 5" xfId="168"/>
    <cellStyle name="Normal 24 5 2" xfId="169"/>
    <cellStyle name="Normal 24 6" xfId="170"/>
    <cellStyle name="Normal 24 6 2" xfId="171"/>
    <cellStyle name="Normal 24 7" xfId="172"/>
    <cellStyle name="Normal 25" xfId="173"/>
    <cellStyle name="Normal 25 2" xfId="174"/>
    <cellStyle name="Normal 25 2 2" xfId="175"/>
    <cellStyle name="Normal 25 3" xfId="176"/>
    <cellStyle name="Normal 25 3 2" xfId="177"/>
    <cellStyle name="Normal 25 4" xfId="178"/>
    <cellStyle name="Normal 25 4 2" xfId="179"/>
    <cellStyle name="Normal 25 5" xfId="180"/>
    <cellStyle name="Normal 25 5 2" xfId="181"/>
    <cellStyle name="Normal 25 6" xfId="182"/>
    <cellStyle name="Normal 25 6 2" xfId="183"/>
    <cellStyle name="Normal 25 7" xfId="184"/>
    <cellStyle name="Normal 26" xfId="185"/>
    <cellStyle name="Normal 26 2" xfId="186"/>
    <cellStyle name="Normal 26 2 2" xfId="187"/>
    <cellStyle name="Normal 26 3" xfId="188"/>
    <cellStyle name="Normal 26 3 2" xfId="189"/>
    <cellStyle name="Normal 26 4" xfId="190"/>
    <cellStyle name="Normal 26 4 2" xfId="191"/>
    <cellStyle name="Normal 26 5" xfId="192"/>
    <cellStyle name="Normal 26 5 2" xfId="193"/>
    <cellStyle name="Normal 26 6" xfId="194"/>
    <cellStyle name="Normal 26 6 2" xfId="195"/>
    <cellStyle name="Normal 26 7" xfId="196"/>
    <cellStyle name="Normal 27" xfId="197"/>
    <cellStyle name="Normal 27 2" xfId="198"/>
    <cellStyle name="Normal 27 2 2" xfId="199"/>
    <cellStyle name="Normal 27 3" xfId="200"/>
    <cellStyle name="Normal 27 3 2" xfId="201"/>
    <cellStyle name="Normal 27 4" xfId="202"/>
    <cellStyle name="Normal 27 4 2" xfId="203"/>
    <cellStyle name="Normal 27 5" xfId="204"/>
    <cellStyle name="Normal 27 5 2" xfId="205"/>
    <cellStyle name="Normal 27 6" xfId="206"/>
    <cellStyle name="Normal 27 6 2" xfId="207"/>
    <cellStyle name="Normal 27 7" xfId="208"/>
    <cellStyle name="Normal 28" xfId="209"/>
    <cellStyle name="Normal 29" xfId="210"/>
    <cellStyle name="Normal 3" xfId="211"/>
    <cellStyle name="Normal 3 2" xfId="212"/>
    <cellStyle name="Normal 3 3" xfId="213"/>
    <cellStyle name="Normal 3 4" xfId="214"/>
    <cellStyle name="Normal 4" xfId="215"/>
    <cellStyle name="Normal 5" xfId="216"/>
    <cellStyle name="Normal 5 2" xfId="217"/>
    <cellStyle name="Normal 5 2 2" xfId="218"/>
    <cellStyle name="Normal 6" xfId="219"/>
    <cellStyle name="Normal 7 2" xfId="220"/>
    <cellStyle name="Normal 7 3" xfId="221"/>
    <cellStyle name="Normal 7 4" xfId="222"/>
    <cellStyle name="Normal 7 5" xfId="223"/>
    <cellStyle name="Normal 8" xfId="224"/>
    <cellStyle name="Normal 9" xfId="225"/>
    <cellStyle name="Normal_CuadrosResolucion" xfId="226"/>
    <cellStyle name="Normal_GART-GRDE-010-2002_TerminosConexion" xfId="227"/>
    <cellStyle name="Normal_GART-GRDE-010-2002_TerminosConexion 2" xfId="228"/>
    <cellStyle name="Notas" xfId="229"/>
    <cellStyle name="Percent" xfId="230"/>
    <cellStyle name="Porcentaje 2" xfId="231"/>
    <cellStyle name="Porcentaje 2 2" xfId="232"/>
    <cellStyle name="Porcentaje 2 3" xfId="233"/>
    <cellStyle name="Porcentaje 2 4" xfId="234"/>
    <cellStyle name="Porcentaje 3" xfId="235"/>
    <cellStyle name="Porcentaje 4" xfId="236"/>
    <cellStyle name="Salida" xfId="237"/>
    <cellStyle name="Texto de advertencia" xfId="238"/>
    <cellStyle name="Texto explicativo" xfId="239"/>
    <cellStyle name="Título" xfId="240"/>
    <cellStyle name="Título 2" xfId="241"/>
    <cellStyle name="Título 3" xfId="242"/>
    <cellStyle name="Total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COLLA~1\CONFIG~1\Temp\Mantenimiento_Hex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C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.421875" style="1" customWidth="1"/>
    <col min="2" max="2" width="12.00390625" style="1" customWidth="1"/>
    <col min="3" max="3" width="81.140625" style="1" customWidth="1"/>
    <col min="4" max="16384" width="11.421875" style="1" customWidth="1"/>
  </cols>
  <sheetData>
    <row r="2" spans="2:3" ht="12.75">
      <c r="B2" s="4" t="s">
        <v>73</v>
      </c>
      <c r="C2" s="4" t="s">
        <v>50</v>
      </c>
    </row>
    <row r="3" spans="2:3" ht="12.75">
      <c r="B3" s="3" t="s">
        <v>74</v>
      </c>
      <c r="C3" s="5" t="s">
        <v>75</v>
      </c>
    </row>
    <row r="4" spans="2:3" ht="12.75">
      <c r="B4" s="3" t="s">
        <v>76</v>
      </c>
      <c r="C4" s="5" t="s">
        <v>77</v>
      </c>
    </row>
    <row r="5" spans="2:3" ht="12.75">
      <c r="B5" s="3" t="s">
        <v>78</v>
      </c>
      <c r="C5" s="5" t="s">
        <v>79</v>
      </c>
    </row>
    <row r="6" spans="2:3" ht="12.75">
      <c r="B6" s="3" t="s">
        <v>80</v>
      </c>
      <c r="C6" s="5" t="s">
        <v>81</v>
      </c>
    </row>
    <row r="7" spans="2:3" ht="12.75">
      <c r="B7" s="3" t="s">
        <v>82</v>
      </c>
      <c r="C7" s="5" t="s">
        <v>83</v>
      </c>
    </row>
    <row r="8" spans="2:3" ht="12.75">
      <c r="B8" s="3" t="s">
        <v>84</v>
      </c>
      <c r="C8" s="5" t="s">
        <v>85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7"/>
  <sheetViews>
    <sheetView zoomScale="90" zoomScaleNormal="90" zoomScalePageLayoutView="40" workbookViewId="0" topLeftCell="A1">
      <selection activeCell="I48" sqref="I48"/>
    </sheetView>
  </sheetViews>
  <sheetFormatPr defaultColWidth="11.421875" defaultRowHeight="12.75"/>
  <cols>
    <col min="1" max="1" width="11.00390625" style="629" customWidth="1"/>
    <col min="2" max="2" width="38.00390625" style="629" customWidth="1"/>
    <col min="3" max="3" width="11.00390625" style="629" customWidth="1"/>
    <col min="4" max="4" width="24.140625" style="629" customWidth="1"/>
    <col min="5" max="5" width="44.28125" style="629" customWidth="1"/>
    <col min="6" max="6" width="21.8515625" style="629" customWidth="1"/>
    <col min="7" max="7" width="11.421875" style="629" customWidth="1"/>
    <col min="8" max="8" width="13.28125" style="629" customWidth="1"/>
    <col min="9" max="16384" width="11.421875" style="629" customWidth="1"/>
  </cols>
  <sheetData>
    <row r="2" spans="2:12" ht="21">
      <c r="B2" s="521" t="s">
        <v>420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pans="2:12" ht="18.75">
      <c r="B3" s="522" t="str">
        <f>+'Resolución 137-2019-OS_CD'!B2</f>
        <v>Resolución Osinergmin N° 137-2019-OS/CD modificado por Resolución Osinergmin N° 176-2019 OS/CD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</row>
    <row r="4" spans="2:12" ht="18.75">
      <c r="B4" s="522" t="str">
        <f>+Factores!A2</f>
        <v>Vigente a partir del 04/Nov/2022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</row>
    <row r="5" spans="2:12" ht="18.75">
      <c r="B5" s="522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1:12" ht="15.75">
      <c r="A6" s="631"/>
      <c r="B6" s="632" t="s">
        <v>449</v>
      </c>
      <c r="C6" s="523"/>
      <c r="D6" s="633"/>
      <c r="E6" s="633"/>
      <c r="F6" s="633"/>
      <c r="G6" s="633"/>
      <c r="H6" s="633"/>
      <c r="I6" s="523"/>
      <c r="J6" s="630"/>
      <c r="K6" s="523"/>
      <c r="L6" s="523"/>
    </row>
    <row r="7" spans="1:12" ht="12.75">
      <c r="A7" s="634"/>
      <c r="B7" s="523"/>
      <c r="C7" s="523"/>
      <c r="D7" s="523"/>
      <c r="E7" s="523"/>
      <c r="F7" s="523"/>
      <c r="G7" s="523"/>
      <c r="H7" s="523"/>
      <c r="I7" s="523"/>
      <c r="J7" s="630"/>
      <c r="K7" s="630"/>
      <c r="L7" s="630"/>
    </row>
    <row r="8" spans="1:12" ht="12.75" customHeight="1">
      <c r="A8" s="634"/>
      <c r="B8" s="635" t="s">
        <v>6</v>
      </c>
      <c r="C8" s="636" t="s">
        <v>3</v>
      </c>
      <c r="D8" s="635" t="s">
        <v>4</v>
      </c>
      <c r="E8" s="635" t="s">
        <v>7</v>
      </c>
      <c r="F8" s="635" t="s">
        <v>49</v>
      </c>
      <c r="G8" s="635" t="s">
        <v>1</v>
      </c>
      <c r="H8" s="635" t="s">
        <v>2</v>
      </c>
      <c r="I8" s="633"/>
      <c r="J8" s="630"/>
      <c r="K8" s="630"/>
      <c r="L8" s="630"/>
    </row>
    <row r="9" spans="1:12" ht="12.75" customHeight="1">
      <c r="A9" s="634"/>
      <c r="B9" s="637"/>
      <c r="C9" s="638"/>
      <c r="D9" s="637"/>
      <c r="E9" s="637" t="s">
        <v>86</v>
      </c>
      <c r="F9" s="637" t="s">
        <v>304</v>
      </c>
      <c r="G9" s="639" t="s">
        <v>274</v>
      </c>
      <c r="H9" s="637" t="s">
        <v>275</v>
      </c>
      <c r="I9" s="523"/>
      <c r="J9" s="630"/>
      <c r="K9" s="630"/>
      <c r="L9" s="630"/>
    </row>
    <row r="10" spans="1:24" ht="12.75">
      <c r="A10" s="634"/>
      <c r="B10" s="640" t="s">
        <v>11</v>
      </c>
      <c r="C10" s="523" t="s">
        <v>9</v>
      </c>
      <c r="D10" s="640" t="s">
        <v>10</v>
      </c>
      <c r="E10" s="641" t="s">
        <v>12</v>
      </c>
      <c r="F10" s="642" t="s">
        <v>63</v>
      </c>
      <c r="G10" s="843">
        <f>+'(2) Presupuesto de la Conexión'!G10*1.12</f>
        <v>1298.4182400000002</v>
      </c>
      <c r="H10" s="843">
        <f>+'(2) Presupuesto de la Conexión'!H10*1.12</f>
        <v>1455.8859840000002</v>
      </c>
      <c r="I10" s="523"/>
      <c r="J10" s="630"/>
      <c r="K10" s="630"/>
      <c r="L10" s="630"/>
      <c r="N10" s="629">
        <f>+G10/'(2) Presupuesto de la Conexión'!G10</f>
        <v>1.12</v>
      </c>
      <c r="O10" s="629">
        <f>+H10/'(2) Presupuesto de la Conexión'!H10</f>
        <v>1.12</v>
      </c>
      <c r="T10" s="629">
        <v>805</v>
      </c>
      <c r="U10" s="629">
        <v>910</v>
      </c>
      <c r="W10" s="629">
        <f aca="true" t="shared" si="0" ref="W10:X32">+IF(T10=G10,0,1)</f>
        <v>1</v>
      </c>
      <c r="X10" s="629">
        <f t="shared" si="0"/>
        <v>1</v>
      </c>
    </row>
    <row r="11" spans="1:24" ht="12.75">
      <c r="A11" s="634"/>
      <c r="B11" s="643"/>
      <c r="C11" s="644"/>
      <c r="D11" s="643"/>
      <c r="E11" s="645"/>
      <c r="F11" s="642" t="s">
        <v>87</v>
      </c>
      <c r="G11" s="843">
        <f>+'(2) Presupuesto de la Conexión'!G11*1.12</f>
        <v>377.093808</v>
      </c>
      <c r="H11" s="843">
        <f>+'(2) Presupuesto de la Conexión'!H11*1.12</f>
        <v>531.7989600000001</v>
      </c>
      <c r="I11" s="523"/>
      <c r="J11" s="630"/>
      <c r="K11" s="630"/>
      <c r="L11" s="630"/>
      <c r="N11" s="629">
        <f>+G11/'(2) Presupuesto de la Conexión'!G11</f>
        <v>1.12</v>
      </c>
      <c r="O11" s="629">
        <f>+H11/'(2) Presupuesto de la Conexión'!H11</f>
        <v>1.12</v>
      </c>
      <c r="T11" s="629">
        <v>259</v>
      </c>
      <c r="U11" s="629">
        <v>364</v>
      </c>
      <c r="W11" s="629">
        <f t="shared" si="0"/>
        <v>1</v>
      </c>
      <c r="X11" s="629">
        <f t="shared" si="0"/>
        <v>1</v>
      </c>
    </row>
    <row r="12" spans="1:24" ht="12.75">
      <c r="A12" s="634"/>
      <c r="B12" s="646"/>
      <c r="C12" s="523"/>
      <c r="D12" s="646"/>
      <c r="E12" s="646"/>
      <c r="F12" s="642" t="s">
        <v>270</v>
      </c>
      <c r="G12" s="843">
        <f>+'(2) Presupuesto de la Conexión'!G12*1.12</f>
        <v>433.72694400000006</v>
      </c>
      <c r="H12" s="894"/>
      <c r="I12" s="523"/>
      <c r="J12" s="630"/>
      <c r="K12" s="630"/>
      <c r="L12" s="630"/>
      <c r="N12" s="629">
        <f>+G12/'(2) Presupuesto de la Conexión'!G12</f>
        <v>1.12</v>
      </c>
      <c r="T12" s="629">
        <v>314</v>
      </c>
      <c r="W12" s="629">
        <f t="shared" si="0"/>
        <v>1</v>
      </c>
      <c r="X12" s="629">
        <f t="shared" si="0"/>
        <v>0</v>
      </c>
    </row>
    <row r="13" spans="1:24" ht="12.75">
      <c r="A13" s="634"/>
      <c r="B13" s="643"/>
      <c r="C13" s="644"/>
      <c r="D13" s="643"/>
      <c r="E13" s="645"/>
      <c r="F13" s="642" t="s">
        <v>88</v>
      </c>
      <c r="G13" s="843">
        <f>+'(2) Presupuesto de la Conexión'!G13*1.12</f>
        <v>385.3815840000001</v>
      </c>
      <c r="H13" s="843">
        <f>+'(2) Presupuesto de la Conexión'!H13*1.12</f>
        <v>543.2</v>
      </c>
      <c r="I13" s="523"/>
      <c r="J13" s="630"/>
      <c r="K13" s="630"/>
      <c r="L13" s="630"/>
      <c r="N13" s="629">
        <f>+G13/'(2) Presupuesto de la Conexión'!G13</f>
        <v>1.12</v>
      </c>
      <c r="O13" s="629">
        <f>+H13/'(2) Presupuesto de la Conexión'!H13</f>
        <v>1.12</v>
      </c>
      <c r="T13" s="629">
        <v>267</v>
      </c>
      <c r="U13" s="629">
        <v>372</v>
      </c>
      <c r="W13" s="629">
        <f t="shared" si="0"/>
        <v>1</v>
      </c>
      <c r="X13" s="629">
        <f t="shared" si="0"/>
        <v>1</v>
      </c>
    </row>
    <row r="14" spans="1:24" ht="12.75">
      <c r="A14" s="634"/>
      <c r="B14" s="646"/>
      <c r="C14" s="523"/>
      <c r="D14" s="646"/>
      <c r="E14" s="646"/>
      <c r="F14" s="642" t="s">
        <v>271</v>
      </c>
      <c r="G14" s="843">
        <f>+'(2) Presupuesto de la Conexión'!G14*1.12</f>
        <v>442.01472000000007</v>
      </c>
      <c r="H14" s="894"/>
      <c r="I14" s="523"/>
      <c r="J14" s="630"/>
      <c r="K14" s="630"/>
      <c r="L14" s="630"/>
      <c r="N14" s="629">
        <f>+G14/'(2) Presupuesto de la Conexión'!G14</f>
        <v>1.12</v>
      </c>
      <c r="T14" s="629">
        <v>322</v>
      </c>
      <c r="W14" s="629">
        <f t="shared" si="0"/>
        <v>1</v>
      </c>
      <c r="X14" s="629">
        <f t="shared" si="0"/>
        <v>0</v>
      </c>
    </row>
    <row r="15" spans="1:24" ht="12.75">
      <c r="A15" s="634"/>
      <c r="B15" s="643"/>
      <c r="C15" s="644"/>
      <c r="D15" s="647"/>
      <c r="E15" s="648"/>
      <c r="F15" s="642" t="s">
        <v>56</v>
      </c>
      <c r="G15" s="843">
        <f>+'(2) Presupuesto de la Conexión'!G15*1.12</f>
        <v>279.02179200000006</v>
      </c>
      <c r="H15" s="843">
        <f>+'(2) Presupuesto de la Conexión'!H15*1.12</f>
        <v>451.36000000000007</v>
      </c>
      <c r="I15" s="523"/>
      <c r="J15" s="630"/>
      <c r="K15" s="630"/>
      <c r="L15" s="630"/>
      <c r="N15" s="629">
        <f>+G15/'(2) Presupuesto de la Conexión'!G15</f>
        <v>1.12</v>
      </c>
      <c r="O15" s="629">
        <f>+H15/'(2) Presupuesto de la Conexión'!H15</f>
        <v>1.12</v>
      </c>
      <c r="T15" s="629">
        <v>202</v>
      </c>
      <c r="U15" s="629">
        <v>304</v>
      </c>
      <c r="W15" s="629">
        <f t="shared" si="0"/>
        <v>1</v>
      </c>
      <c r="X15" s="629">
        <f t="shared" si="0"/>
        <v>1</v>
      </c>
    </row>
    <row r="16" spans="1:24" ht="12.75">
      <c r="A16" s="634"/>
      <c r="B16" s="643"/>
      <c r="C16" s="644"/>
      <c r="D16" s="640" t="s">
        <v>14</v>
      </c>
      <c r="E16" s="641" t="s">
        <v>15</v>
      </c>
      <c r="F16" s="642" t="s">
        <v>63</v>
      </c>
      <c r="G16" s="843">
        <f>+'(2) Presupuesto de la Conexión'!G16*1.12</f>
        <v>1332.9506400000002</v>
      </c>
      <c r="H16" s="843">
        <f>+'(2) Presupuesto de la Conexión'!H16*1.12</f>
        <v>1463.8400000000001</v>
      </c>
      <c r="I16" s="523"/>
      <c r="J16" s="630"/>
      <c r="K16" s="630"/>
      <c r="L16" s="630"/>
      <c r="N16" s="629">
        <f>+G16/'(2) Presupuesto de la Conexión'!G16</f>
        <v>1.12</v>
      </c>
      <c r="O16" s="629">
        <f>+H16/'(2) Presupuesto de la Conexión'!H16</f>
        <v>1.12</v>
      </c>
      <c r="T16" s="629">
        <v>859</v>
      </c>
      <c r="U16" s="629">
        <v>914</v>
      </c>
      <c r="W16" s="629">
        <f t="shared" si="0"/>
        <v>1</v>
      </c>
      <c r="X16" s="629">
        <f t="shared" si="0"/>
        <v>1</v>
      </c>
    </row>
    <row r="17" spans="1:24" ht="12.75">
      <c r="A17" s="634"/>
      <c r="B17" s="643"/>
      <c r="C17" s="644"/>
      <c r="D17" s="643"/>
      <c r="E17" s="645"/>
      <c r="F17" s="642" t="s">
        <v>87</v>
      </c>
      <c r="G17" s="843">
        <f>+'(2) Presupuesto de la Conexión'!G17*1.12</f>
        <v>413.00750400000004</v>
      </c>
      <c r="H17" s="843">
        <f>+'(2) Presupuesto de la Conexión'!H17*1.12</f>
        <v>543.2</v>
      </c>
      <c r="I17" s="523"/>
      <c r="J17" s="630"/>
      <c r="K17" s="630"/>
      <c r="L17" s="630"/>
      <c r="N17" s="629">
        <f>+G17/'(2) Presupuesto de la Conexión'!G17</f>
        <v>1.12</v>
      </c>
      <c r="O17" s="629">
        <f>+H17/'(2) Presupuesto de la Conexión'!H17</f>
        <v>1.12</v>
      </c>
      <c r="T17" s="629">
        <v>312</v>
      </c>
      <c r="U17" s="629">
        <v>368</v>
      </c>
      <c r="W17" s="629">
        <f t="shared" si="0"/>
        <v>1</v>
      </c>
      <c r="X17" s="629">
        <f t="shared" si="0"/>
        <v>1</v>
      </c>
    </row>
    <row r="18" spans="1:24" ht="12.75">
      <c r="A18" s="634"/>
      <c r="B18" s="643"/>
      <c r="C18" s="644"/>
      <c r="D18" s="643"/>
      <c r="E18" s="645"/>
      <c r="F18" s="642" t="s">
        <v>88</v>
      </c>
      <c r="G18" s="843">
        <f>+'(2) Presupuesto de la Conexión'!G18*1.12</f>
        <v>419.913984</v>
      </c>
      <c r="H18" s="843">
        <f>+'(2) Presupuesto de la Conexión'!H18*1.12</f>
        <v>551.0400000000001</v>
      </c>
      <c r="I18" s="523"/>
      <c r="J18" s="630"/>
      <c r="K18" s="630"/>
      <c r="L18" s="630"/>
      <c r="N18" s="629">
        <f>+G18/'(2) Presupuesto de la Conexión'!G18</f>
        <v>1.12</v>
      </c>
      <c r="O18" s="629">
        <f>+H18/'(2) Presupuesto de la Conexión'!H18</f>
        <v>1.12</v>
      </c>
      <c r="T18" s="629">
        <v>321</v>
      </c>
      <c r="U18" s="629">
        <v>376</v>
      </c>
      <c r="W18" s="629">
        <f t="shared" si="0"/>
        <v>1</v>
      </c>
      <c r="X18" s="629">
        <f t="shared" si="0"/>
        <v>1</v>
      </c>
    </row>
    <row r="19" spans="1:24" ht="12.75">
      <c r="A19" s="634"/>
      <c r="B19" s="643"/>
      <c r="C19" s="644"/>
      <c r="D19" s="643"/>
      <c r="E19" s="645"/>
      <c r="F19" s="649" t="s">
        <v>56</v>
      </c>
      <c r="G19" s="843">
        <f>+'(2) Presupuesto de la Conexión'!G19*1.12</f>
        <v>313.55419200000006</v>
      </c>
      <c r="H19" s="843">
        <f>+'(2) Presupuesto de la Conexión'!H19*1.12</f>
        <v>458.08000000000004</v>
      </c>
      <c r="I19" s="523"/>
      <c r="J19" s="630"/>
      <c r="K19" s="630"/>
      <c r="L19" s="630"/>
      <c r="N19" s="629">
        <f>+G19/'(2) Presupuesto de la Conexión'!G19</f>
        <v>1.12</v>
      </c>
      <c r="O19" s="629">
        <f>+H19/'(2) Presupuesto de la Conexión'!H19</f>
        <v>1.12</v>
      </c>
      <c r="T19" s="629">
        <v>256</v>
      </c>
      <c r="U19" s="629">
        <v>308</v>
      </c>
      <c r="W19" s="629">
        <f t="shared" si="0"/>
        <v>1</v>
      </c>
      <c r="X19" s="629">
        <f t="shared" si="0"/>
        <v>1</v>
      </c>
    </row>
    <row r="20" spans="1:24" ht="12.75">
      <c r="A20" s="634"/>
      <c r="B20" s="640" t="s">
        <v>18</v>
      </c>
      <c r="C20" s="650" t="s">
        <v>16</v>
      </c>
      <c r="D20" s="640" t="s">
        <v>17</v>
      </c>
      <c r="E20" s="641" t="s">
        <v>19</v>
      </c>
      <c r="F20" s="642" t="s">
        <v>63</v>
      </c>
      <c r="G20" s="843">
        <f>+'(2) Presupuesto de la Conexión'!G20*1.12</f>
        <v>2471.1385440000004</v>
      </c>
      <c r="H20" s="843">
        <f>+'(2) Presupuesto de la Conexión'!H20*1.12</f>
        <v>2624.1600000000003</v>
      </c>
      <c r="I20" s="523"/>
      <c r="J20" s="630"/>
      <c r="K20" s="630"/>
      <c r="L20" s="630"/>
      <c r="N20" s="629">
        <f>+G20/'(2) Presupuesto de la Conexión'!G20</f>
        <v>1.12</v>
      </c>
      <c r="O20" s="629">
        <f>+H20/'(2) Presupuesto de la Conexión'!H20</f>
        <v>1.12</v>
      </c>
      <c r="T20" s="629">
        <v>1542</v>
      </c>
      <c r="U20" s="629">
        <v>1621</v>
      </c>
      <c r="W20" s="629">
        <f t="shared" si="0"/>
        <v>1</v>
      </c>
      <c r="X20" s="629">
        <f t="shared" si="0"/>
        <v>1</v>
      </c>
    </row>
    <row r="21" spans="1:24" ht="12.75">
      <c r="A21" s="634"/>
      <c r="B21" s="643"/>
      <c r="C21" s="644"/>
      <c r="D21" s="643"/>
      <c r="E21" s="645"/>
      <c r="F21" s="642" t="s">
        <v>60</v>
      </c>
      <c r="G21" s="843">
        <f>+'(2) Presupuesto de la Conexión'!G21*1.12</f>
        <v>714.1300320000001</v>
      </c>
      <c r="H21" s="843">
        <f>+'(2) Presupuesto de la Conexión'!H21*1.12</f>
        <v>869.1200000000001</v>
      </c>
      <c r="I21" s="523"/>
      <c r="J21" s="630"/>
      <c r="K21" s="630"/>
      <c r="L21" s="630"/>
      <c r="N21" s="629">
        <f>+G21/'(2) Presupuesto de la Conexión'!G21</f>
        <v>1.12</v>
      </c>
      <c r="O21" s="629">
        <f>+H21/'(2) Presupuesto de la Conexión'!H21</f>
        <v>1.12</v>
      </c>
      <c r="T21" s="629">
        <v>503</v>
      </c>
      <c r="U21" s="629">
        <v>581</v>
      </c>
      <c r="W21" s="629">
        <f t="shared" si="0"/>
        <v>1</v>
      </c>
      <c r="X21" s="629">
        <f t="shared" si="0"/>
        <v>1</v>
      </c>
    </row>
    <row r="22" spans="1:24" ht="12.75">
      <c r="A22" s="634"/>
      <c r="B22" s="643"/>
      <c r="C22" s="644"/>
      <c r="D22" s="643"/>
      <c r="E22" s="645"/>
      <c r="F22" s="642" t="s">
        <v>56</v>
      </c>
      <c r="G22" s="843">
        <f>+'(2) Presupuesto de la Conexión'!G22*1.12</f>
        <v>487.5974880000001</v>
      </c>
      <c r="H22" s="843">
        <f>+'(2) Presupuesto de la Conexión'!H22*1.12</f>
        <v>591.36</v>
      </c>
      <c r="I22" s="523"/>
      <c r="J22" s="630"/>
      <c r="K22" s="630"/>
      <c r="L22" s="630"/>
      <c r="N22" s="629">
        <f>+G22/'(2) Presupuesto de la Conexión'!G22</f>
        <v>1.12</v>
      </c>
      <c r="O22" s="629">
        <f>+H22/'(2) Presupuesto de la Conexión'!H22</f>
        <v>1.12</v>
      </c>
      <c r="T22" s="629">
        <v>318</v>
      </c>
      <c r="U22" s="629">
        <v>402</v>
      </c>
      <c r="W22" s="629">
        <f t="shared" si="0"/>
        <v>1</v>
      </c>
      <c r="X22" s="629">
        <f t="shared" si="0"/>
        <v>1</v>
      </c>
    </row>
    <row r="23" spans="1:24" ht="12.75">
      <c r="A23" s="634"/>
      <c r="B23" s="643"/>
      <c r="C23" s="644"/>
      <c r="D23" s="643"/>
      <c r="E23" s="645"/>
      <c r="F23" s="642" t="s">
        <v>272</v>
      </c>
      <c r="G23" s="843">
        <f>+'(2) Presupuesto de la Conexión'!G23*1.12</f>
        <v>3099.6282240000005</v>
      </c>
      <c r="H23" s="843">
        <f>+'(2) Presupuesto de la Conexión'!H23*1.12</f>
        <v>3203.2000000000003</v>
      </c>
      <c r="I23" s="523"/>
      <c r="J23" s="630"/>
      <c r="K23" s="630"/>
      <c r="L23" s="630"/>
      <c r="N23" s="629">
        <f>+G23/'(2) Presupuesto de la Conexión'!G23</f>
        <v>1.12</v>
      </c>
      <c r="O23" s="629">
        <f>+H23/'(2) Presupuesto de la Conexión'!H23</f>
        <v>1.12</v>
      </c>
      <c r="T23" s="629">
        <v>2099</v>
      </c>
      <c r="U23" s="629">
        <v>2184</v>
      </c>
      <c r="W23" s="629">
        <f t="shared" si="0"/>
        <v>1</v>
      </c>
      <c r="X23" s="629">
        <f t="shared" si="0"/>
        <v>1</v>
      </c>
    </row>
    <row r="24" spans="1:24" ht="12.75">
      <c r="A24" s="634"/>
      <c r="B24" s="643"/>
      <c r="C24" s="644"/>
      <c r="D24" s="651" t="s">
        <v>21</v>
      </c>
      <c r="E24" s="652" t="s">
        <v>22</v>
      </c>
      <c r="F24" s="642" t="s">
        <v>63</v>
      </c>
      <c r="G24" s="843">
        <f>+'(2) Presupuesto de la Conexión'!G24*1.12</f>
        <v>2507.05224</v>
      </c>
      <c r="H24" s="843">
        <f>+'(2) Presupuesto de la Conexión'!H24*1.12</f>
        <v>2636.4800000000005</v>
      </c>
      <c r="I24" s="523"/>
      <c r="J24" s="630"/>
      <c r="K24" s="630"/>
      <c r="L24" s="630"/>
      <c r="N24" s="629">
        <f>+G24/'(2) Presupuesto de la Conexión'!G24</f>
        <v>1.12</v>
      </c>
      <c r="O24" s="629">
        <f>+H24/'(2) Presupuesto de la Conexión'!H24</f>
        <v>1.12</v>
      </c>
      <c r="T24" s="629">
        <v>1597</v>
      </c>
      <c r="U24" s="629">
        <v>1624</v>
      </c>
      <c r="W24" s="629">
        <f t="shared" si="0"/>
        <v>1</v>
      </c>
      <c r="X24" s="629">
        <f t="shared" si="0"/>
        <v>1</v>
      </c>
    </row>
    <row r="25" spans="1:24" ht="12.75">
      <c r="A25" s="634"/>
      <c r="B25" s="643"/>
      <c r="C25" s="644"/>
      <c r="D25" s="643"/>
      <c r="E25" s="645"/>
      <c r="F25" s="642" t="s">
        <v>60</v>
      </c>
      <c r="G25" s="843">
        <f>+'(2) Presupuesto de la Conexión'!G25*1.12</f>
        <v>750.0437280000001</v>
      </c>
      <c r="H25" s="843">
        <f>+'(2) Presupuesto de la Conexión'!H25*1.12</f>
        <v>880.32</v>
      </c>
      <c r="I25" s="523"/>
      <c r="J25" s="630"/>
      <c r="K25" s="630"/>
      <c r="L25" s="630"/>
      <c r="N25" s="629">
        <f>+G25/'(2) Presupuesto de la Conexión'!G25</f>
        <v>1.12</v>
      </c>
      <c r="O25" s="629">
        <f>+H25/'(2) Presupuesto de la Conexión'!H25</f>
        <v>1.12</v>
      </c>
      <c r="T25" s="629">
        <v>558</v>
      </c>
      <c r="U25" s="629">
        <v>585</v>
      </c>
      <c r="W25" s="629">
        <f t="shared" si="0"/>
        <v>1</v>
      </c>
      <c r="X25" s="629">
        <f t="shared" si="0"/>
        <v>1</v>
      </c>
    </row>
    <row r="26" spans="1:24" ht="12.75">
      <c r="A26" s="634"/>
      <c r="B26" s="643"/>
      <c r="C26" s="644"/>
      <c r="D26" s="643"/>
      <c r="E26" s="645"/>
      <c r="F26" s="642" t="s">
        <v>56</v>
      </c>
      <c r="G26" s="843">
        <f>+'(2) Presupuesto de la Conexión'!G26*1.12</f>
        <v>523.5111840000001</v>
      </c>
      <c r="H26" s="843">
        <f>+'(2) Presupuesto de la Conexión'!H26*1.12</f>
        <v>603.6800000000001</v>
      </c>
      <c r="I26" s="523"/>
      <c r="J26" s="630"/>
      <c r="K26" s="630"/>
      <c r="L26" s="630"/>
      <c r="N26" s="629">
        <f>+G26/'(2) Presupuesto de la Conexión'!G26</f>
        <v>1.12</v>
      </c>
      <c r="O26" s="629">
        <f>+H26/'(2) Presupuesto de la Conexión'!H26</f>
        <v>1.12</v>
      </c>
      <c r="T26" s="629">
        <v>373</v>
      </c>
      <c r="U26" s="629">
        <v>406</v>
      </c>
      <c r="W26" s="629">
        <f t="shared" si="0"/>
        <v>1</v>
      </c>
      <c r="X26" s="629">
        <f t="shared" si="0"/>
        <v>1</v>
      </c>
    </row>
    <row r="27" spans="1:24" ht="12.75">
      <c r="A27" s="634"/>
      <c r="B27" s="643"/>
      <c r="C27" s="644"/>
      <c r="D27" s="643"/>
      <c r="E27" s="645"/>
      <c r="F27" s="642" t="s">
        <v>272</v>
      </c>
      <c r="G27" s="843">
        <f>+'(2) Presupuesto de la Conexión'!G27*1.12</f>
        <v>3297.1535520000007</v>
      </c>
      <c r="H27" s="843">
        <f>+'(2) Presupuesto de la Conexión'!H27*1.12</f>
        <v>3376.8</v>
      </c>
      <c r="I27" s="523"/>
      <c r="J27" s="630"/>
      <c r="K27" s="630"/>
      <c r="L27" s="630"/>
      <c r="N27" s="629">
        <f>+G27/'(2) Presupuesto de la Conexión'!G27</f>
        <v>1.12</v>
      </c>
      <c r="O27" s="629">
        <f>+H27/'(2) Presupuesto de la Conexión'!H27</f>
        <v>1.12</v>
      </c>
      <c r="T27" s="629">
        <v>2250</v>
      </c>
      <c r="U27" s="629">
        <v>2283</v>
      </c>
      <c r="W27" s="629">
        <f t="shared" si="0"/>
        <v>1</v>
      </c>
      <c r="X27" s="629">
        <f t="shared" si="0"/>
        <v>1</v>
      </c>
    </row>
    <row r="28" spans="1:24" ht="12.75">
      <c r="A28" s="634"/>
      <c r="B28" s="643"/>
      <c r="C28" s="650" t="s">
        <v>23</v>
      </c>
      <c r="D28" s="640" t="s">
        <v>24</v>
      </c>
      <c r="E28" s="641" t="s">
        <v>25</v>
      </c>
      <c r="F28" s="653" t="s">
        <v>273</v>
      </c>
      <c r="G28" s="843">
        <f>+'(2) Presupuesto de la Conexión'!G28*1.12</f>
        <v>4206.107136</v>
      </c>
      <c r="H28" s="843">
        <f>+'(2) Presupuesto de la Conexión'!H28*1.12</f>
        <v>4565.306368</v>
      </c>
      <c r="I28" s="523"/>
      <c r="J28" s="630"/>
      <c r="K28" s="630"/>
      <c r="L28" s="630"/>
      <c r="N28" s="629">
        <f>+G28/'(2) Presupuesto de la Conexión'!G28</f>
        <v>1.12</v>
      </c>
      <c r="O28" s="629">
        <f>+H28/'(2) Presupuesto de la Conexión'!H28</f>
        <v>1.12</v>
      </c>
      <c r="T28" s="629">
        <v>2721</v>
      </c>
      <c r="U28" s="629">
        <v>2855</v>
      </c>
      <c r="W28" s="629">
        <f t="shared" si="0"/>
        <v>1</v>
      </c>
      <c r="X28" s="629">
        <f t="shared" si="0"/>
        <v>1</v>
      </c>
    </row>
    <row r="29" spans="1:24" ht="12.75">
      <c r="A29" s="634"/>
      <c r="B29" s="643"/>
      <c r="C29" s="650" t="s">
        <v>26</v>
      </c>
      <c r="D29" s="640" t="s">
        <v>27</v>
      </c>
      <c r="E29" s="641" t="s">
        <v>28</v>
      </c>
      <c r="F29" s="642" t="s">
        <v>272</v>
      </c>
      <c r="G29" s="843">
        <f>+'(2) Presupuesto de la Conexión'!G29*1.12</f>
        <v>4498.680704</v>
      </c>
      <c r="H29" s="843">
        <f>+'(2) Presupuesto de la Conexión'!H29*1.12</f>
        <v>5467.649600000001</v>
      </c>
      <c r="I29" s="523"/>
      <c r="J29" s="630"/>
      <c r="K29" s="630"/>
      <c r="L29" s="630"/>
      <c r="N29" s="629">
        <f>+G29/'(2) Presupuesto de la Conexión'!G29</f>
        <v>1.12</v>
      </c>
      <c r="O29" s="629">
        <f>+H29/'(2) Presupuesto de la Conexión'!H29</f>
        <v>1.12</v>
      </c>
      <c r="T29" s="629">
        <v>2839</v>
      </c>
      <c r="U29" s="629">
        <v>3427</v>
      </c>
      <c r="W29" s="629">
        <f t="shared" si="0"/>
        <v>1</v>
      </c>
      <c r="X29" s="629">
        <f t="shared" si="0"/>
        <v>1</v>
      </c>
    </row>
    <row r="30" spans="1:24" ht="12.75">
      <c r="A30" s="634"/>
      <c r="B30" s="643"/>
      <c r="C30" s="644"/>
      <c r="D30" s="651" t="s">
        <v>29</v>
      </c>
      <c r="E30" s="652" t="s">
        <v>30</v>
      </c>
      <c r="F30" s="642" t="s">
        <v>272</v>
      </c>
      <c r="G30" s="843"/>
      <c r="H30" s="843">
        <f>+'(2) Presupuesto de la Conexión'!H30*1.12</f>
        <v>7664.8481280000005</v>
      </c>
      <c r="I30" s="523"/>
      <c r="J30" s="630"/>
      <c r="K30" s="630"/>
      <c r="L30" s="630"/>
      <c r="O30" s="629">
        <f>+H30/'(2) Presupuesto de la Conexión'!H30</f>
        <v>1.12</v>
      </c>
      <c r="U30" s="629">
        <v>4896</v>
      </c>
      <c r="W30" s="629">
        <f t="shared" si="0"/>
        <v>0</v>
      </c>
      <c r="X30" s="629">
        <f t="shared" si="0"/>
        <v>1</v>
      </c>
    </row>
    <row r="31" spans="1:24" ht="12.75">
      <c r="A31" s="634"/>
      <c r="B31" s="643"/>
      <c r="C31" s="644"/>
      <c r="D31" s="651" t="s">
        <v>31</v>
      </c>
      <c r="E31" s="652" t="s">
        <v>32</v>
      </c>
      <c r="F31" s="642" t="s">
        <v>272</v>
      </c>
      <c r="G31" s="843"/>
      <c r="H31" s="843">
        <f>+'(2) Presupuesto de la Conexión'!H31*1.12</f>
        <v>10102.4784</v>
      </c>
      <c r="I31" s="523"/>
      <c r="J31" s="630"/>
      <c r="K31" s="630"/>
      <c r="L31" s="630"/>
      <c r="O31" s="629">
        <f>+H31/'(2) Presupuesto de la Conexión'!H31</f>
        <v>1.12</v>
      </c>
      <c r="U31" s="629">
        <v>5547</v>
      </c>
      <c r="W31" s="629">
        <f t="shared" si="0"/>
        <v>0</v>
      </c>
      <c r="X31" s="629">
        <f t="shared" si="0"/>
        <v>1</v>
      </c>
    </row>
    <row r="32" spans="1:26" ht="12.75">
      <c r="A32" s="634"/>
      <c r="B32" s="647"/>
      <c r="C32" s="654"/>
      <c r="D32" s="655" t="s">
        <v>33</v>
      </c>
      <c r="E32" s="656" t="s">
        <v>34</v>
      </c>
      <c r="F32" s="642" t="s">
        <v>272</v>
      </c>
      <c r="G32" s="843"/>
      <c r="H32" s="843">
        <f>+'(2) Presupuesto de la Conexión'!H32*1.12</f>
        <v>11072.89568</v>
      </c>
      <c r="I32" s="523"/>
      <c r="J32" s="630"/>
      <c r="K32" s="630"/>
      <c r="L32" s="630"/>
      <c r="O32" s="629">
        <f>+H32/'(2) Presupuesto de la Conexión'!H32</f>
        <v>1.12</v>
      </c>
      <c r="U32" s="629">
        <v>6063</v>
      </c>
      <c r="W32" s="629">
        <f t="shared" si="0"/>
        <v>0</v>
      </c>
      <c r="X32" s="629">
        <f t="shared" si="0"/>
        <v>1</v>
      </c>
      <c r="Y32" s="657">
        <f>+SUM(W10:X32)</f>
        <v>41</v>
      </c>
      <c r="Z32" s="629" t="b">
        <f>+IF(Y32=0,"ok")</f>
        <v>0</v>
      </c>
    </row>
    <row r="33" spans="1:12" ht="14.25" customHeight="1">
      <c r="A33" s="634"/>
      <c r="B33" s="1" t="s">
        <v>432</v>
      </c>
      <c r="C33" s="523"/>
      <c r="D33" s="523"/>
      <c r="E33" s="523"/>
      <c r="F33" s="523"/>
      <c r="G33" s="523"/>
      <c r="H33" s="633"/>
      <c r="I33" s="523"/>
      <c r="J33" s="630"/>
      <c r="K33" s="630"/>
      <c r="L33" s="630"/>
    </row>
    <row r="34" spans="1:12" ht="12.75">
      <c r="A34" s="634"/>
      <c r="B34" s="523" t="s">
        <v>277</v>
      </c>
      <c r="C34" s="523"/>
      <c r="D34" s="523"/>
      <c r="E34" s="523"/>
      <c r="F34" s="523"/>
      <c r="G34" s="523"/>
      <c r="H34" s="633"/>
      <c r="I34" s="523"/>
      <c r="J34" s="630"/>
      <c r="K34" s="630"/>
      <c r="L34" s="630"/>
    </row>
    <row r="35" spans="1:12" ht="12.75">
      <c r="A35" s="634"/>
      <c r="B35" s="523" t="s">
        <v>278</v>
      </c>
      <c r="C35" s="523"/>
      <c r="D35" s="523"/>
      <c r="E35" s="523"/>
      <c r="F35" s="523"/>
      <c r="G35" s="523"/>
      <c r="H35" s="633"/>
      <c r="I35" s="523"/>
      <c r="J35" s="630"/>
      <c r="K35" s="630"/>
      <c r="L35" s="630"/>
    </row>
    <row r="36" spans="1:12" ht="12.75">
      <c r="A36" s="634"/>
      <c r="B36" s="523"/>
      <c r="C36" s="523"/>
      <c r="D36" s="523"/>
      <c r="E36" s="523"/>
      <c r="F36" s="523"/>
      <c r="G36" s="523"/>
      <c r="H36" s="633"/>
      <c r="I36" s="523"/>
      <c r="J36" s="630"/>
      <c r="K36" s="630"/>
      <c r="L36" s="630"/>
    </row>
    <row r="37" spans="1:12" ht="12.75">
      <c r="A37" s="634"/>
      <c r="B37" s="523"/>
      <c r="C37" s="523"/>
      <c r="D37" s="523"/>
      <c r="E37" s="523"/>
      <c r="F37" s="523"/>
      <c r="G37" s="523"/>
      <c r="H37" s="633"/>
      <c r="I37" s="523"/>
      <c r="J37" s="630"/>
      <c r="K37" s="630"/>
      <c r="L37" s="630"/>
    </row>
    <row r="38" spans="1:12" ht="15.75">
      <c r="A38" s="634"/>
      <c r="B38" s="632" t="s">
        <v>450</v>
      </c>
      <c r="C38" s="523"/>
      <c r="D38" s="633"/>
      <c r="E38" s="633"/>
      <c r="F38" s="633"/>
      <c r="G38" s="633"/>
      <c r="H38" s="633"/>
      <c r="I38" s="523"/>
      <c r="J38" s="630"/>
      <c r="K38" s="630"/>
      <c r="L38" s="630"/>
    </row>
    <row r="39" spans="1:12" ht="12.75">
      <c r="A39" s="634"/>
      <c r="B39" s="523"/>
      <c r="C39" s="523"/>
      <c r="D39" s="523"/>
      <c r="E39" s="523"/>
      <c r="F39" s="633"/>
      <c r="G39" s="633"/>
      <c r="H39" s="633"/>
      <c r="I39" s="523"/>
      <c r="J39" s="630"/>
      <c r="K39" s="630"/>
      <c r="L39" s="630"/>
    </row>
    <row r="40" spans="1:12" ht="12.75">
      <c r="A40" s="634"/>
      <c r="B40" s="633"/>
      <c r="C40" s="633"/>
      <c r="D40" s="633"/>
      <c r="E40" s="633"/>
      <c r="F40" s="633"/>
      <c r="G40" s="633"/>
      <c r="H40" s="633"/>
      <c r="I40" s="523"/>
      <c r="J40" s="630"/>
      <c r="K40" s="630"/>
      <c r="L40" s="630"/>
    </row>
    <row r="41" spans="1:12" ht="12.75">
      <c r="A41" s="634"/>
      <c r="B41" s="635" t="s">
        <v>6</v>
      </c>
      <c r="C41" s="635" t="s">
        <v>3</v>
      </c>
      <c r="D41" s="635" t="s">
        <v>4</v>
      </c>
      <c r="E41" s="635" t="s">
        <v>7</v>
      </c>
      <c r="F41" s="635" t="s">
        <v>49</v>
      </c>
      <c r="G41" s="635" t="s">
        <v>89</v>
      </c>
      <c r="H41" s="635" t="s">
        <v>305</v>
      </c>
      <c r="I41" s="523"/>
      <c r="J41" s="630"/>
      <c r="K41" s="630"/>
      <c r="L41" s="630"/>
    </row>
    <row r="42" spans="1:23" ht="12.75" customHeight="1">
      <c r="A42" s="634"/>
      <c r="B42" s="658"/>
      <c r="C42" s="658"/>
      <c r="D42" s="658"/>
      <c r="E42" s="658" t="s">
        <v>86</v>
      </c>
      <c r="F42" s="658" t="s">
        <v>304</v>
      </c>
      <c r="G42" s="658"/>
      <c r="H42" s="659" t="s">
        <v>280</v>
      </c>
      <c r="I42" s="523"/>
      <c r="J42" s="630"/>
      <c r="K42" s="630"/>
      <c r="L42" s="630"/>
      <c r="T42" s="629">
        <v>167</v>
      </c>
      <c r="U42" s="629">
        <v>63</v>
      </c>
      <c r="V42" s="629">
        <f aca="true" t="shared" si="1" ref="V42:W47">+IF(T42=G43,0,1)</f>
        <v>1</v>
      </c>
      <c r="W42" s="629">
        <f t="shared" si="1"/>
        <v>1</v>
      </c>
    </row>
    <row r="43" spans="1:23" ht="12.75">
      <c r="A43" s="634"/>
      <c r="B43" s="640" t="s">
        <v>11</v>
      </c>
      <c r="C43" s="640" t="s">
        <v>9</v>
      </c>
      <c r="D43" s="640" t="s">
        <v>10</v>
      </c>
      <c r="E43" s="641" t="s">
        <v>12</v>
      </c>
      <c r="F43" s="660" t="s">
        <v>87</v>
      </c>
      <c r="G43" s="844">
        <f>+'(2) Presupuesto de la Conexión'!G43*1.12</f>
        <v>219.62606400000004</v>
      </c>
      <c r="H43" s="844">
        <f>+'(2) Presupuesto de la Conexión'!H43*1.12</f>
        <v>96.69072000000001</v>
      </c>
      <c r="I43" s="523"/>
      <c r="J43" s="630"/>
      <c r="K43" s="630"/>
      <c r="L43" s="630"/>
      <c r="N43" s="629">
        <f>+G43/'(2) Presupuesto de la Conexión'!G43</f>
        <v>1.12</v>
      </c>
      <c r="O43" s="629">
        <f>+H43/'(2) Presupuesto de la Conexión'!H43</f>
        <v>1.12</v>
      </c>
      <c r="T43" s="629">
        <v>176</v>
      </c>
      <c r="U43" s="629">
        <v>63</v>
      </c>
      <c r="V43" s="629">
        <f t="shared" si="1"/>
        <v>1</v>
      </c>
      <c r="W43" s="629">
        <f t="shared" si="1"/>
        <v>1</v>
      </c>
    </row>
    <row r="44" spans="1:23" ht="12.75">
      <c r="A44" s="634"/>
      <c r="B44" s="646"/>
      <c r="C44" s="646"/>
      <c r="D44" s="661"/>
      <c r="E44" s="661"/>
      <c r="F44" s="660" t="s">
        <v>88</v>
      </c>
      <c r="G44" s="844">
        <f>+'(2) Presupuesto de la Conexión'!G44*1.12</f>
        <v>226.53254400000003</v>
      </c>
      <c r="H44" s="844">
        <f>+'(2) Presupuesto de la Conexión'!H44*1.12</f>
        <v>96.69072000000001</v>
      </c>
      <c r="I44" s="523"/>
      <c r="J44" s="630"/>
      <c r="K44" s="630"/>
      <c r="L44" s="630"/>
      <c r="N44" s="629">
        <f>+G44/'(2) Presupuesto de la Conexión'!G44</f>
        <v>1.12</v>
      </c>
      <c r="O44" s="629">
        <f>+H44/'(2) Presupuesto de la Conexión'!H44</f>
        <v>1.12</v>
      </c>
      <c r="T44" s="629">
        <v>190</v>
      </c>
      <c r="U44" s="629">
        <v>107</v>
      </c>
      <c r="V44" s="629">
        <f t="shared" si="1"/>
        <v>1</v>
      </c>
      <c r="W44" s="629">
        <f t="shared" si="1"/>
        <v>1</v>
      </c>
    </row>
    <row r="45" spans="1:23" ht="12.75">
      <c r="A45" s="634"/>
      <c r="B45" s="643"/>
      <c r="C45" s="643"/>
      <c r="D45" s="640" t="s">
        <v>14</v>
      </c>
      <c r="E45" s="641" t="s">
        <v>15</v>
      </c>
      <c r="F45" s="660" t="s">
        <v>87</v>
      </c>
      <c r="G45" s="844">
        <f>+'(2) Presupuesto de la Conexión'!G45*1.12</f>
        <v>238.96420800000004</v>
      </c>
      <c r="H45" s="844">
        <f>+'(2) Presupuesto de la Conexión'!H45*1.12</f>
        <v>171.28070400000001</v>
      </c>
      <c r="I45" s="523"/>
      <c r="J45" s="630"/>
      <c r="K45" s="630"/>
      <c r="L45" s="630"/>
      <c r="N45" s="629">
        <f>+G45/'(2) Presupuesto de la Conexión'!G45</f>
        <v>1.12</v>
      </c>
      <c r="O45" s="629">
        <f>+H45/'(2) Presupuesto de la Conexión'!H45</f>
        <v>1.12</v>
      </c>
      <c r="T45" s="629">
        <v>198</v>
      </c>
      <c r="U45" s="629">
        <v>107</v>
      </c>
      <c r="V45" s="629">
        <f t="shared" si="1"/>
        <v>1</v>
      </c>
      <c r="W45" s="629">
        <f t="shared" si="1"/>
        <v>1</v>
      </c>
    </row>
    <row r="46" spans="1:23" ht="12.75">
      <c r="A46" s="634"/>
      <c r="B46" s="661"/>
      <c r="C46" s="661"/>
      <c r="D46" s="661"/>
      <c r="E46" s="662"/>
      <c r="F46" s="660" t="s">
        <v>88</v>
      </c>
      <c r="G46" s="844">
        <f>+'(2) Presupuesto de la Conexión'!G46*1.12</f>
        <v>247.25198400000005</v>
      </c>
      <c r="H46" s="844">
        <f>+'(2) Presupuesto de la Conexión'!H46*1.12</f>
        <v>171.28070400000001</v>
      </c>
      <c r="I46" s="523"/>
      <c r="J46" s="630"/>
      <c r="K46" s="630"/>
      <c r="L46" s="630"/>
      <c r="N46" s="629">
        <f>+G46/'(2) Presupuesto de la Conexión'!G46</f>
        <v>1.12</v>
      </c>
      <c r="O46" s="629">
        <f>+H46/'(2) Presupuesto de la Conexión'!H46</f>
        <v>1.12</v>
      </c>
      <c r="T46" s="629">
        <v>341</v>
      </c>
      <c r="U46" s="629">
        <v>108</v>
      </c>
      <c r="V46" s="629">
        <f t="shared" si="1"/>
        <v>1</v>
      </c>
      <c r="W46" s="629">
        <f t="shared" si="1"/>
        <v>1</v>
      </c>
    </row>
    <row r="47" spans="1:25" ht="12.75">
      <c r="A47" s="634"/>
      <c r="B47" s="640" t="s">
        <v>18</v>
      </c>
      <c r="C47" s="640" t="s">
        <v>16</v>
      </c>
      <c r="D47" s="663" t="s">
        <v>17</v>
      </c>
      <c r="E47" s="664" t="s">
        <v>19</v>
      </c>
      <c r="F47" s="663" t="s">
        <v>60</v>
      </c>
      <c r="G47" s="844">
        <f>+'(2) Presupuesto de la Conexión'!G47*1.12</f>
        <v>458.590272</v>
      </c>
      <c r="H47" s="844">
        <f>+'(2) Presupuesto de la Conexión'!H47*1.12</f>
        <v>172.662</v>
      </c>
      <c r="I47" s="523"/>
      <c r="J47" s="630"/>
      <c r="K47" s="630"/>
      <c r="L47" s="630"/>
      <c r="N47" s="629">
        <f>+G47/'(2) Presupuesto de la Conexión'!G47</f>
        <v>1.12</v>
      </c>
      <c r="O47" s="629">
        <f>+H47/'(2) Presupuesto de la Conexión'!H47</f>
        <v>1.12</v>
      </c>
      <c r="T47" s="629">
        <v>355</v>
      </c>
      <c r="U47" s="629">
        <v>223</v>
      </c>
      <c r="V47" s="629">
        <f t="shared" si="1"/>
        <v>1</v>
      </c>
      <c r="W47" s="629">
        <f t="shared" si="1"/>
        <v>1</v>
      </c>
      <c r="X47" s="665">
        <f>+SUM(V42:W47)</f>
        <v>12</v>
      </c>
      <c r="Y47" s="629" t="b">
        <f>+IF(X47=0,"ok")</f>
        <v>0</v>
      </c>
    </row>
    <row r="48" spans="1:15" ht="12.75">
      <c r="A48" s="634"/>
      <c r="B48" s="647"/>
      <c r="C48" s="647"/>
      <c r="D48" s="663" t="s">
        <v>21</v>
      </c>
      <c r="E48" s="666" t="s">
        <v>22</v>
      </c>
      <c r="F48" s="663" t="s">
        <v>60</v>
      </c>
      <c r="G48" s="844">
        <f>+'(2) Presupuesto de la Conexión'!G48*1.12</f>
        <v>488.9787840000001</v>
      </c>
      <c r="H48" s="844">
        <f>+'(2) Presupuesto de la Conexión'!H48*1.12</f>
        <v>353.6117760000001</v>
      </c>
      <c r="I48" s="523"/>
      <c r="J48" s="630"/>
      <c r="K48" s="630"/>
      <c r="L48" s="630"/>
      <c r="N48" s="629">
        <f>+G48/'(2) Presupuesto de la Conexión'!G48</f>
        <v>1.12</v>
      </c>
      <c r="O48" s="629">
        <f>+H48/'(2) Presupuesto de la Conexión'!H48</f>
        <v>1.12</v>
      </c>
    </row>
    <row r="49" spans="1:12" ht="12.75">
      <c r="A49" s="634"/>
      <c r="B49" s="523" t="s">
        <v>281</v>
      </c>
      <c r="C49" s="523"/>
      <c r="D49" s="523"/>
      <c r="E49" s="523"/>
      <c r="F49" s="523"/>
      <c r="G49" s="523"/>
      <c r="H49" s="523"/>
      <c r="I49" s="523"/>
      <c r="J49" s="630"/>
      <c r="K49" s="630"/>
      <c r="L49" s="630"/>
    </row>
    <row r="50" spans="1:12" ht="12.75">
      <c r="A50" s="634"/>
      <c r="B50" s="523"/>
      <c r="C50" s="523"/>
      <c r="D50" s="523"/>
      <c r="E50" s="523"/>
      <c r="F50" s="523"/>
      <c r="G50" s="523"/>
      <c r="H50" s="523"/>
      <c r="I50" s="523"/>
      <c r="J50" s="630"/>
      <c r="K50" s="630"/>
      <c r="L50" s="630"/>
    </row>
    <row r="51" spans="1:12" ht="12.75">
      <c r="A51" s="634"/>
      <c r="B51" s="523"/>
      <c r="C51" s="523"/>
      <c r="D51" s="523"/>
      <c r="E51" s="523"/>
      <c r="F51" s="523"/>
      <c r="G51" s="523"/>
      <c r="H51" s="523"/>
      <c r="I51" s="523"/>
      <c r="J51" s="630"/>
      <c r="K51" s="630"/>
      <c r="L51" s="630"/>
    </row>
    <row r="52" spans="1:12" ht="15.75">
      <c r="A52" s="634"/>
      <c r="B52" s="632" t="s">
        <v>451</v>
      </c>
      <c r="C52" s="523"/>
      <c r="D52" s="523"/>
      <c r="E52" s="523"/>
      <c r="F52" s="523"/>
      <c r="G52" s="523"/>
      <c r="H52" s="523"/>
      <c r="I52" s="523"/>
      <c r="J52" s="630"/>
      <c r="K52" s="630"/>
      <c r="L52" s="630"/>
    </row>
    <row r="53" spans="1:12" ht="12.75">
      <c r="A53" s="634"/>
      <c r="B53" s="523"/>
      <c r="C53" s="523"/>
      <c r="D53" s="633"/>
      <c r="E53" s="633"/>
      <c r="F53" s="633"/>
      <c r="G53" s="633"/>
      <c r="H53" s="633"/>
      <c r="I53" s="523"/>
      <c r="J53" s="630"/>
      <c r="K53" s="630"/>
      <c r="L53" s="630"/>
    </row>
    <row r="54" spans="2:12" ht="12.75">
      <c r="B54" s="635" t="s">
        <v>6</v>
      </c>
      <c r="C54" s="636" t="s">
        <v>3</v>
      </c>
      <c r="D54" s="635" t="s">
        <v>4</v>
      </c>
      <c r="E54" s="635" t="s">
        <v>7</v>
      </c>
      <c r="F54" s="635" t="s">
        <v>49</v>
      </c>
      <c r="G54" s="635" t="s">
        <v>1</v>
      </c>
      <c r="H54" s="635" t="s">
        <v>2</v>
      </c>
      <c r="I54" s="523"/>
      <c r="J54" s="630"/>
      <c r="K54" s="630"/>
      <c r="L54" s="630"/>
    </row>
    <row r="55" spans="1:23" ht="12.75">
      <c r="A55" s="631"/>
      <c r="B55" s="637"/>
      <c r="C55" s="638"/>
      <c r="D55" s="637"/>
      <c r="E55" s="637" t="s">
        <v>86</v>
      </c>
      <c r="F55" s="637" t="s">
        <v>304</v>
      </c>
      <c r="G55" s="639" t="s">
        <v>280</v>
      </c>
      <c r="H55" s="637" t="s">
        <v>285</v>
      </c>
      <c r="I55" s="523"/>
      <c r="J55" s="630"/>
      <c r="K55" s="630"/>
      <c r="L55" s="630"/>
      <c r="T55" s="629">
        <v>1572</v>
      </c>
      <c r="U55" s="629">
        <v>1689</v>
      </c>
      <c r="V55" s="629">
        <f aca="true" t="shared" si="2" ref="V55:W67">+IF(T55=G56,0,1)</f>
        <v>1</v>
      </c>
      <c r="W55" s="629">
        <f t="shared" si="2"/>
        <v>1</v>
      </c>
    </row>
    <row r="56" spans="1:23" ht="12.75">
      <c r="A56" s="634"/>
      <c r="B56" s="640" t="s">
        <v>18</v>
      </c>
      <c r="C56" s="650" t="s">
        <v>16</v>
      </c>
      <c r="D56" s="640" t="s">
        <v>17</v>
      </c>
      <c r="E56" s="641" t="s">
        <v>19</v>
      </c>
      <c r="F56" s="642" t="s">
        <v>63</v>
      </c>
      <c r="G56" s="843">
        <f>+'(2) Presupuesto de la Conexión'!G56*1.12</f>
        <v>2527.7716800000007</v>
      </c>
      <c r="H56" s="843">
        <f>+'(2) Presupuesto de la Conexión'!H56*1.12</f>
        <v>2736.347376</v>
      </c>
      <c r="I56" s="523"/>
      <c r="J56" s="630"/>
      <c r="K56" s="630"/>
      <c r="L56" s="630"/>
      <c r="N56" s="629">
        <f>+G56/'(2) Presupuesto de la Conexión'!G56</f>
        <v>1.12</v>
      </c>
      <c r="O56" s="629">
        <f>+H56/'(2) Presupuesto de la Conexión'!H56</f>
        <v>1.12</v>
      </c>
      <c r="T56" s="629">
        <v>508</v>
      </c>
      <c r="U56" s="629">
        <v>625</v>
      </c>
      <c r="V56" s="629">
        <f t="shared" si="2"/>
        <v>1</v>
      </c>
      <c r="W56" s="629">
        <f t="shared" si="2"/>
        <v>1</v>
      </c>
    </row>
    <row r="57" spans="1:23" ht="12.75" customHeight="1">
      <c r="A57" s="634"/>
      <c r="B57" s="643"/>
      <c r="C57" s="644"/>
      <c r="D57" s="643"/>
      <c r="E57" s="645"/>
      <c r="F57" s="642" t="s">
        <v>60</v>
      </c>
      <c r="G57" s="843">
        <f>+'(2) Presupuesto de la Conexión'!G57*1.12</f>
        <v>721.036512</v>
      </c>
      <c r="H57" s="843">
        <f>+'(2) Presupuesto de la Conexión'!H57*1.12</f>
        <v>930.9935040000001</v>
      </c>
      <c r="I57" s="523"/>
      <c r="J57" s="630"/>
      <c r="K57" s="630"/>
      <c r="L57" s="630"/>
      <c r="N57" s="629">
        <f>+G57/'(2) Presupuesto de la Conexión'!G57</f>
        <v>1.12</v>
      </c>
      <c r="O57" s="629">
        <f>+H57/'(2) Presupuesto de la Conexión'!H57</f>
        <v>1.12</v>
      </c>
      <c r="T57" s="629">
        <v>322</v>
      </c>
      <c r="U57" s="629">
        <v>438</v>
      </c>
      <c r="V57" s="629">
        <f t="shared" si="2"/>
        <v>1</v>
      </c>
      <c r="W57" s="629">
        <f t="shared" si="2"/>
        <v>1</v>
      </c>
    </row>
    <row r="58" spans="1:23" ht="12.75" customHeight="1">
      <c r="A58" s="634"/>
      <c r="B58" s="643"/>
      <c r="C58" s="644"/>
      <c r="D58" s="643"/>
      <c r="E58" s="645"/>
      <c r="F58" s="642" t="s">
        <v>56</v>
      </c>
      <c r="G58" s="843">
        <f>+'(2) Presupuesto de la Conexión'!G58*1.12</f>
        <v>495.88526400000006</v>
      </c>
      <c r="H58" s="843">
        <f>+'(2) Presupuesto de la Conexión'!H58*1.12</f>
        <v>649.2091200000001</v>
      </c>
      <c r="I58" s="523"/>
      <c r="J58" s="630"/>
      <c r="K58" s="630"/>
      <c r="L58" s="630"/>
      <c r="N58" s="629">
        <f>+G58/'(2) Presupuesto de la Conexión'!G58</f>
        <v>1.12</v>
      </c>
      <c r="O58" s="629">
        <f>+H58/'(2) Presupuesto de la Conexión'!H58</f>
        <v>1.12</v>
      </c>
      <c r="T58" s="629">
        <v>2188</v>
      </c>
      <c r="U58" s="629">
        <v>2305</v>
      </c>
      <c r="V58" s="629">
        <f t="shared" si="2"/>
        <v>1</v>
      </c>
      <c r="W58" s="629">
        <f t="shared" si="2"/>
        <v>1</v>
      </c>
    </row>
    <row r="59" spans="1:23" ht="12.75">
      <c r="A59" s="634"/>
      <c r="B59" s="643"/>
      <c r="C59" s="644"/>
      <c r="D59" s="643"/>
      <c r="E59" s="645"/>
      <c r="F59" s="642" t="s">
        <v>272</v>
      </c>
      <c r="G59" s="843">
        <f>+'(2) Presupuesto de la Conexión'!G59*1.12</f>
        <v>3098.2469280000005</v>
      </c>
      <c r="H59" s="843">
        <f>+'(2) Presupuesto de la Conexión'!H59*1.12</f>
        <v>3251.5707840000005</v>
      </c>
      <c r="I59" s="523"/>
      <c r="J59" s="630"/>
      <c r="K59" s="630"/>
      <c r="L59" s="630"/>
      <c r="N59" s="629">
        <f>+G59/'(2) Presupuesto de la Conexión'!G59</f>
        <v>1.12</v>
      </c>
      <c r="O59" s="629">
        <f>+H59/'(2) Presupuesto de la Conexión'!H59</f>
        <v>1.12</v>
      </c>
      <c r="T59" s="629">
        <v>1601</v>
      </c>
      <c r="U59" s="629">
        <v>1717</v>
      </c>
      <c r="V59" s="629">
        <f t="shared" si="2"/>
        <v>1</v>
      </c>
      <c r="W59" s="629">
        <f t="shared" si="2"/>
        <v>1</v>
      </c>
    </row>
    <row r="60" spans="1:23" ht="12.75">
      <c r="A60" s="634"/>
      <c r="B60" s="643"/>
      <c r="C60" s="644"/>
      <c r="D60" s="651" t="s">
        <v>21</v>
      </c>
      <c r="E60" s="652" t="s">
        <v>22</v>
      </c>
      <c r="F60" s="642" t="s">
        <v>63</v>
      </c>
      <c r="G60" s="843">
        <f>+'(2) Presupuesto de la Conexión'!G60*1.12</f>
        <v>2531.9155680000003</v>
      </c>
      <c r="H60" s="843">
        <f>+'(2) Presupuesto de la Conexión'!H60*1.12</f>
        <v>2741.8725600000002</v>
      </c>
      <c r="I60" s="523"/>
      <c r="J60" s="630"/>
      <c r="K60" s="630"/>
      <c r="L60" s="630"/>
      <c r="N60" s="629">
        <f>+G60/'(2) Presupuesto de la Conexión'!G60</f>
        <v>1.12</v>
      </c>
      <c r="O60" s="629">
        <f>+H60/'(2) Presupuesto de la Conexión'!H60</f>
        <v>1.12</v>
      </c>
      <c r="T60" s="629">
        <v>536</v>
      </c>
      <c r="U60" s="629">
        <v>653</v>
      </c>
      <c r="V60" s="629">
        <f t="shared" si="2"/>
        <v>1</v>
      </c>
      <c r="W60" s="629">
        <f t="shared" si="2"/>
        <v>1</v>
      </c>
    </row>
    <row r="61" spans="1:23" ht="12.75">
      <c r="A61" s="634"/>
      <c r="B61" s="643"/>
      <c r="C61" s="644"/>
      <c r="D61" s="643"/>
      <c r="E61" s="645"/>
      <c r="F61" s="642" t="s">
        <v>60</v>
      </c>
      <c r="G61" s="843">
        <f>+'(2) Presupuesto de la Conexión'!G61*1.12</f>
        <v>725.1804000000002</v>
      </c>
      <c r="H61" s="843">
        <f>+'(2) Presupuesto de la Conexión'!H61*1.12</f>
        <v>935.1373920000001</v>
      </c>
      <c r="I61" s="523"/>
      <c r="J61" s="630"/>
      <c r="K61" s="630"/>
      <c r="L61" s="630"/>
      <c r="N61" s="629">
        <f>+G61/'(2) Presupuesto de la Conexión'!G61</f>
        <v>1.12</v>
      </c>
      <c r="O61" s="629">
        <f>+H61/'(2) Presupuesto de la Conexión'!H61</f>
        <v>1.12</v>
      </c>
      <c r="T61" s="629">
        <v>350</v>
      </c>
      <c r="U61" s="629">
        <v>466</v>
      </c>
      <c r="V61" s="629">
        <f t="shared" si="2"/>
        <v>1</v>
      </c>
      <c r="W61" s="629">
        <f t="shared" si="2"/>
        <v>1</v>
      </c>
    </row>
    <row r="62" spans="1:23" ht="12.75">
      <c r="A62" s="634"/>
      <c r="B62" s="643"/>
      <c r="C62" s="644"/>
      <c r="D62" s="643"/>
      <c r="E62" s="645"/>
      <c r="F62" s="642" t="s">
        <v>56</v>
      </c>
      <c r="G62" s="843">
        <f>+'(2) Presupuesto de la Conexión'!G62*1.12</f>
        <v>500.02915200000007</v>
      </c>
      <c r="H62" s="843">
        <f>+'(2) Presupuesto de la Conexión'!H62*1.12</f>
        <v>653.353008</v>
      </c>
      <c r="I62" s="523"/>
      <c r="J62" s="630"/>
      <c r="K62" s="630"/>
      <c r="L62" s="630"/>
      <c r="N62" s="629">
        <f>+G62/'(2) Presupuesto de la Conexión'!G62</f>
        <v>1.12</v>
      </c>
      <c r="O62" s="629">
        <f>+H62/'(2) Presupuesto de la Conexión'!H62</f>
        <v>1.12</v>
      </c>
      <c r="T62" s="629">
        <v>2216</v>
      </c>
      <c r="U62" s="629">
        <v>2333</v>
      </c>
      <c r="V62" s="629">
        <f t="shared" si="2"/>
        <v>1</v>
      </c>
      <c r="W62" s="629">
        <f t="shared" si="2"/>
        <v>1</v>
      </c>
    </row>
    <row r="63" spans="1:23" ht="12.75">
      <c r="A63" s="634"/>
      <c r="B63" s="643"/>
      <c r="C63" s="644"/>
      <c r="D63" s="643"/>
      <c r="E63" s="645"/>
      <c r="F63" s="642" t="s">
        <v>272</v>
      </c>
      <c r="G63" s="843">
        <f>+'(2) Presupuesto de la Conexión'!G63*1.12</f>
        <v>3102.3908160000005</v>
      </c>
      <c r="H63" s="843">
        <f>+'(2) Presupuesto de la Conexión'!H63*1.12</f>
        <v>3257.095968</v>
      </c>
      <c r="I63" s="523"/>
      <c r="J63" s="630"/>
      <c r="K63" s="630"/>
      <c r="L63" s="630"/>
      <c r="N63" s="629">
        <f>+G63/'(2) Presupuesto de la Conexión'!G63</f>
        <v>1.12</v>
      </c>
      <c r="O63" s="629">
        <f>+H63/'(2) Presupuesto de la Conexión'!H63</f>
        <v>1.12</v>
      </c>
      <c r="T63" s="629">
        <v>2539</v>
      </c>
      <c r="U63" s="629">
        <v>2738</v>
      </c>
      <c r="V63" s="629">
        <f t="shared" si="2"/>
        <v>1</v>
      </c>
      <c r="W63" s="629">
        <f t="shared" si="2"/>
        <v>1</v>
      </c>
    </row>
    <row r="64" spans="1:23" ht="12.75">
      <c r="A64" s="634"/>
      <c r="B64" s="643"/>
      <c r="C64" s="650" t="s">
        <v>23</v>
      </c>
      <c r="D64" s="640" t="s">
        <v>24</v>
      </c>
      <c r="E64" s="641" t="s">
        <v>25</v>
      </c>
      <c r="F64" s="653" t="s">
        <v>273</v>
      </c>
      <c r="G64" s="843">
        <f>+'(2) Presupuesto de la Conexión'!G64*1.12</f>
        <v>3971.468928</v>
      </c>
      <c r="H64" s="843">
        <f>+'(2) Presupuesto de la Conexión'!H64*1.12</f>
        <v>4365.429376</v>
      </c>
      <c r="I64" s="523"/>
      <c r="J64" s="630"/>
      <c r="K64" s="630"/>
      <c r="L64" s="630"/>
      <c r="N64" s="629">
        <f>+G64/'(2) Presupuesto de la Conexión'!G64</f>
        <v>1.12</v>
      </c>
      <c r="O64" s="629">
        <f>+H64/'(2) Presupuesto de la Conexión'!H64</f>
        <v>1.12</v>
      </c>
      <c r="T64" s="629">
        <v>3061</v>
      </c>
      <c r="U64" s="629">
        <v>2972</v>
      </c>
      <c r="V64" s="629">
        <f t="shared" si="2"/>
        <v>1</v>
      </c>
      <c r="W64" s="629">
        <f t="shared" si="2"/>
        <v>1</v>
      </c>
    </row>
    <row r="65" spans="1:23" ht="12.75">
      <c r="A65" s="634"/>
      <c r="B65" s="643"/>
      <c r="C65" s="650" t="s">
        <v>26</v>
      </c>
      <c r="D65" s="640" t="s">
        <v>27</v>
      </c>
      <c r="E65" s="641" t="s">
        <v>28</v>
      </c>
      <c r="F65" s="642" t="s">
        <v>272</v>
      </c>
      <c r="G65" s="843">
        <f>+'(2) Presupuesto de la Conexión'!G65*1.12</f>
        <v>4255.352192</v>
      </c>
      <c r="H65" s="843">
        <f>+'(2) Presupuesto de la Conexión'!H65*1.12</f>
        <v>4797.047808</v>
      </c>
      <c r="I65" s="523"/>
      <c r="J65" s="630"/>
      <c r="K65" s="630"/>
      <c r="L65" s="630"/>
      <c r="N65" s="629">
        <f>+G65/'(2) Presupuesto de la Conexión'!G65</f>
        <v>1.12</v>
      </c>
      <c r="O65" s="629">
        <f>+H65/'(2) Presupuesto de la Conexión'!H65</f>
        <v>1.12</v>
      </c>
      <c r="U65" s="629">
        <v>3836</v>
      </c>
      <c r="V65" s="629">
        <f t="shared" si="2"/>
        <v>0</v>
      </c>
      <c r="W65" s="629">
        <f t="shared" si="2"/>
        <v>1</v>
      </c>
    </row>
    <row r="66" spans="1:23" ht="12.75">
      <c r="A66" s="634"/>
      <c r="B66" s="643"/>
      <c r="C66" s="644"/>
      <c r="D66" s="651" t="s">
        <v>29</v>
      </c>
      <c r="E66" s="652" t="s">
        <v>30</v>
      </c>
      <c r="F66" s="642" t="s">
        <v>272</v>
      </c>
      <c r="G66" s="843"/>
      <c r="H66" s="843">
        <f>+'(2) Presupuesto de la Conexión'!H66*1.12</f>
        <v>6186.0480640000005</v>
      </c>
      <c r="I66" s="523"/>
      <c r="J66" s="630"/>
      <c r="K66" s="630"/>
      <c r="L66" s="630"/>
      <c r="O66" s="629">
        <f>+H66/'(2) Presupuesto de la Conexión'!H66</f>
        <v>1.12</v>
      </c>
      <c r="U66" s="629">
        <v>5294</v>
      </c>
      <c r="V66" s="629">
        <f t="shared" si="2"/>
        <v>0</v>
      </c>
      <c r="W66" s="629">
        <f t="shared" si="2"/>
        <v>1</v>
      </c>
    </row>
    <row r="67" spans="1:25" ht="12.75">
      <c r="A67" s="634"/>
      <c r="B67" s="643"/>
      <c r="C67" s="644"/>
      <c r="D67" s="651" t="s">
        <v>31</v>
      </c>
      <c r="E67" s="652" t="s">
        <v>32</v>
      </c>
      <c r="F67" s="642" t="s">
        <v>272</v>
      </c>
      <c r="G67" s="843"/>
      <c r="H67" s="843">
        <f>+'(2) Presupuesto de la Conexión'!H67*1.12</f>
        <v>8656.991168</v>
      </c>
      <c r="I67" s="523"/>
      <c r="J67" s="630"/>
      <c r="K67" s="630"/>
      <c r="L67" s="630"/>
      <c r="O67" s="629">
        <f>+H67/'(2) Presupuesto de la Conexión'!H67</f>
        <v>1.12</v>
      </c>
      <c r="U67" s="629">
        <v>5837</v>
      </c>
      <c r="V67" s="629">
        <f t="shared" si="2"/>
        <v>0</v>
      </c>
      <c r="W67" s="629">
        <f t="shared" si="2"/>
        <v>1</v>
      </c>
      <c r="X67" s="667">
        <f>+SUM(V55:W67)</f>
        <v>23</v>
      </c>
      <c r="Y67" s="629" t="b">
        <f>+IF(X67=0,"ok")</f>
        <v>0</v>
      </c>
    </row>
    <row r="68" spans="1:15" ht="12.75">
      <c r="A68" s="634"/>
      <c r="B68" s="647"/>
      <c r="C68" s="654"/>
      <c r="D68" s="655" t="s">
        <v>33</v>
      </c>
      <c r="E68" s="656" t="s">
        <v>34</v>
      </c>
      <c r="F68" s="642" t="s">
        <v>272</v>
      </c>
      <c r="G68" s="843"/>
      <c r="H68" s="843">
        <f>+'(2) Presupuesto de la Conexión'!H68*1.12</f>
        <v>9486.9152</v>
      </c>
      <c r="I68" s="523"/>
      <c r="J68" s="630"/>
      <c r="K68" s="630"/>
      <c r="L68" s="630"/>
      <c r="O68" s="629">
        <f>+H68/'(2) Presupuesto de la Conexión'!H68</f>
        <v>1.12</v>
      </c>
    </row>
    <row r="69" spans="1:12" ht="12.75">
      <c r="A69" s="634"/>
      <c r="B69" s="523" t="s">
        <v>283</v>
      </c>
      <c r="C69" s="523"/>
      <c r="D69" s="523"/>
      <c r="E69" s="523"/>
      <c r="F69" s="523"/>
      <c r="G69" s="523"/>
      <c r="H69" s="523"/>
      <c r="I69" s="523"/>
      <c r="J69" s="630"/>
      <c r="K69" s="630"/>
      <c r="L69" s="630"/>
    </row>
    <row r="70" spans="1:12" ht="12.75">
      <c r="A70" s="634"/>
      <c r="B70" s="523" t="s">
        <v>284</v>
      </c>
      <c r="C70" s="523"/>
      <c r="D70" s="523"/>
      <c r="E70" s="523"/>
      <c r="F70" s="523"/>
      <c r="G70" s="523"/>
      <c r="H70" s="523"/>
      <c r="I70" s="523"/>
      <c r="J70" s="630"/>
      <c r="K70" s="630"/>
      <c r="L70" s="630"/>
    </row>
    <row r="71" spans="1:12" ht="12.75">
      <c r="A71" s="634"/>
      <c r="B71" s="523"/>
      <c r="C71" s="523"/>
      <c r="D71" s="523"/>
      <c r="E71" s="523"/>
      <c r="F71" s="523"/>
      <c r="G71" s="523"/>
      <c r="H71" s="523"/>
      <c r="I71" s="523"/>
      <c r="J71" s="630"/>
      <c r="K71" s="630"/>
      <c r="L71" s="630"/>
    </row>
    <row r="72" spans="1:12" ht="12.75">
      <c r="A72" s="634"/>
      <c r="B72" s="523"/>
      <c r="C72" s="523"/>
      <c r="D72" s="523"/>
      <c r="E72" s="523"/>
      <c r="F72" s="523"/>
      <c r="G72" s="523"/>
      <c r="H72" s="523"/>
      <c r="I72" s="523"/>
      <c r="J72" s="630"/>
      <c r="K72" s="630"/>
      <c r="L72" s="630"/>
    </row>
    <row r="73" spans="1:12" ht="15.75">
      <c r="A73" s="634"/>
      <c r="B73" s="632" t="s">
        <v>452</v>
      </c>
      <c r="C73" s="523"/>
      <c r="D73" s="633"/>
      <c r="E73" s="633"/>
      <c r="F73" s="633"/>
      <c r="G73" s="633"/>
      <c r="H73" s="633"/>
      <c r="I73" s="523"/>
      <c r="J73" s="630"/>
      <c r="K73" s="630"/>
      <c r="L73" s="630"/>
    </row>
    <row r="74" spans="1:23" ht="12.75">
      <c r="A74" s="634"/>
      <c r="B74" s="523"/>
      <c r="C74" s="523"/>
      <c r="D74" s="523"/>
      <c r="E74" s="523"/>
      <c r="F74" s="523"/>
      <c r="G74" s="523"/>
      <c r="H74" s="523"/>
      <c r="I74" s="523"/>
      <c r="J74" s="630"/>
      <c r="K74" s="630"/>
      <c r="L74" s="630"/>
      <c r="T74" s="629">
        <v>334</v>
      </c>
      <c r="U74" s="629">
        <v>93</v>
      </c>
      <c r="V74" s="629">
        <f>+IF(T74=G77,0,1)</f>
        <v>1</v>
      </c>
      <c r="W74" s="629">
        <f>+IF(U74=H77,0,1)</f>
        <v>1</v>
      </c>
    </row>
    <row r="75" spans="1:25" ht="12.75">
      <c r="A75" s="634"/>
      <c r="B75" s="635" t="s">
        <v>6</v>
      </c>
      <c r="C75" s="635" t="s">
        <v>3</v>
      </c>
      <c r="D75" s="635" t="s">
        <v>4</v>
      </c>
      <c r="E75" s="635" t="s">
        <v>7</v>
      </c>
      <c r="F75" s="635" t="s">
        <v>49</v>
      </c>
      <c r="G75" s="635" t="s">
        <v>89</v>
      </c>
      <c r="H75" s="635" t="s">
        <v>305</v>
      </c>
      <c r="I75" s="523"/>
      <c r="J75" s="630"/>
      <c r="K75" s="630"/>
      <c r="L75" s="630"/>
      <c r="T75" s="629">
        <v>363</v>
      </c>
      <c r="U75" s="629">
        <v>166</v>
      </c>
      <c r="V75" s="629">
        <f>+IF(T75=G78,0,1)</f>
        <v>1</v>
      </c>
      <c r="W75" s="629">
        <f>+IF(U75=H78,0,1)</f>
        <v>1</v>
      </c>
      <c r="X75" s="665">
        <f>+SUM(V74:W75)</f>
        <v>4</v>
      </c>
      <c r="Y75" s="629" t="b">
        <f>+IF(X75=0,"ok")</f>
        <v>0</v>
      </c>
    </row>
    <row r="76" spans="1:12" ht="12.75">
      <c r="A76" s="634"/>
      <c r="B76" s="658"/>
      <c r="C76" s="658"/>
      <c r="D76" s="658"/>
      <c r="E76" s="658" t="s">
        <v>86</v>
      </c>
      <c r="F76" s="658" t="s">
        <v>304</v>
      </c>
      <c r="G76" s="658"/>
      <c r="H76" s="659" t="s">
        <v>280</v>
      </c>
      <c r="I76" s="523"/>
      <c r="J76" s="630"/>
      <c r="K76" s="630"/>
      <c r="L76" s="630"/>
    </row>
    <row r="77" spans="1:15" ht="12.75">
      <c r="A77" s="634"/>
      <c r="B77" s="640" t="s">
        <v>18</v>
      </c>
      <c r="C77" s="640" t="s">
        <v>16</v>
      </c>
      <c r="D77" s="663" t="s">
        <v>17</v>
      </c>
      <c r="E77" s="664" t="s">
        <v>19</v>
      </c>
      <c r="F77" s="663" t="s">
        <v>60</v>
      </c>
      <c r="G77" s="844">
        <f>+'(2) Presupuesto de la Conexión'!G77*1.12</f>
        <v>455.8276800000001</v>
      </c>
      <c r="H77" s="844">
        <f>+'(2) Presupuesto de la Conexión'!H77*1.12</f>
        <v>143.65478400000003</v>
      </c>
      <c r="I77" s="523"/>
      <c r="J77" s="630"/>
      <c r="K77" s="630"/>
      <c r="L77" s="630"/>
      <c r="N77" s="629">
        <f>+G77/'(2) Presupuesto de la Conexión'!G77</f>
        <v>1.12</v>
      </c>
      <c r="O77" s="629">
        <f>+H77/'(2) Presupuesto de la Conexión'!H77</f>
        <v>1.12</v>
      </c>
    </row>
    <row r="78" spans="1:15" ht="12.75">
      <c r="A78" s="634"/>
      <c r="B78" s="647"/>
      <c r="C78" s="647"/>
      <c r="D78" s="663" t="s">
        <v>21</v>
      </c>
      <c r="E78" s="666" t="s">
        <v>22</v>
      </c>
      <c r="F78" s="663" t="s">
        <v>60</v>
      </c>
      <c r="G78" s="844">
        <f>+'(2) Presupuesto de la Conexión'!G78*1.12</f>
        <v>459.9715680000001</v>
      </c>
      <c r="H78" s="844">
        <f>+'(2) Presupuesto de la Conexión'!H78*1.12</f>
        <v>319.0793760000001</v>
      </c>
      <c r="I78" s="523"/>
      <c r="J78" s="630"/>
      <c r="K78" s="630"/>
      <c r="L78" s="630"/>
      <c r="N78" s="629">
        <f>+G78/'(2) Presupuesto de la Conexión'!G78</f>
        <v>1.12</v>
      </c>
      <c r="O78" s="629">
        <f>+H78/'(2) Presupuesto de la Conexión'!H78</f>
        <v>1.12</v>
      </c>
    </row>
    <row r="79" spans="1:12" ht="12.75" customHeight="1">
      <c r="A79" s="634"/>
      <c r="B79" s="523" t="s">
        <v>281</v>
      </c>
      <c r="C79" s="523"/>
      <c r="D79" s="523"/>
      <c r="E79" s="523"/>
      <c r="F79" s="523"/>
      <c r="G79" s="845"/>
      <c r="H79" s="845"/>
      <c r="I79" s="523"/>
      <c r="J79" s="630"/>
      <c r="K79" s="630"/>
      <c r="L79" s="630"/>
    </row>
    <row r="80" spans="1:12" ht="12.75">
      <c r="A80" s="634"/>
      <c r="B80" s="630"/>
      <c r="C80" s="630"/>
      <c r="D80" s="630"/>
      <c r="E80" s="630"/>
      <c r="F80" s="630"/>
      <c r="G80" s="630"/>
      <c r="H80" s="630"/>
      <c r="I80" s="523"/>
      <c r="J80" s="630"/>
      <c r="K80" s="630"/>
      <c r="L80" s="630"/>
    </row>
    <row r="81" spans="1:12" ht="12.75">
      <c r="A81" s="634"/>
      <c r="B81" s="630"/>
      <c r="C81" s="630"/>
      <c r="D81" s="630"/>
      <c r="E81" s="630"/>
      <c r="F81" s="630"/>
      <c r="G81" s="630"/>
      <c r="H81" s="630"/>
      <c r="I81" s="523"/>
      <c r="J81" s="630"/>
      <c r="K81" s="630"/>
      <c r="L81" s="630"/>
    </row>
    <row r="82" spans="1:12" ht="15.75">
      <c r="A82" s="634"/>
      <c r="B82" s="632" t="s">
        <v>453</v>
      </c>
      <c r="C82" s="668"/>
      <c r="D82" s="668"/>
      <c r="E82" s="668"/>
      <c r="F82" s="668"/>
      <c r="G82" s="668"/>
      <c r="H82" s="668"/>
      <c r="I82" s="523"/>
      <c r="J82" s="630"/>
      <c r="K82" s="630"/>
      <c r="L82" s="630"/>
    </row>
    <row r="83" spans="1:12" ht="12.75">
      <c r="A83" s="634"/>
      <c r="B83" s="668"/>
      <c r="C83" s="668"/>
      <c r="D83" s="633"/>
      <c r="E83" s="633"/>
      <c r="F83" s="633"/>
      <c r="G83" s="633"/>
      <c r="H83" s="633"/>
      <c r="I83" s="630"/>
      <c r="J83" s="630"/>
      <c r="K83" s="630"/>
      <c r="L83" s="630"/>
    </row>
    <row r="84" spans="2:12" ht="12.75">
      <c r="B84" s="635" t="s">
        <v>6</v>
      </c>
      <c r="C84" s="635" t="s">
        <v>3</v>
      </c>
      <c r="D84" s="669" t="s">
        <v>4</v>
      </c>
      <c r="E84" s="635" t="s">
        <v>7</v>
      </c>
      <c r="F84" s="635" t="s">
        <v>49</v>
      </c>
      <c r="G84" s="669" t="s">
        <v>1</v>
      </c>
      <c r="H84" s="635" t="s">
        <v>2</v>
      </c>
      <c r="I84" s="630"/>
      <c r="J84" s="630"/>
      <c r="K84" s="630"/>
      <c r="L84" s="630"/>
    </row>
    <row r="85" spans="2:23" ht="12.75">
      <c r="B85" s="658"/>
      <c r="C85" s="658"/>
      <c r="D85" s="670"/>
      <c r="E85" s="658" t="s">
        <v>86</v>
      </c>
      <c r="F85" s="658" t="s">
        <v>304</v>
      </c>
      <c r="G85" s="671" t="s">
        <v>274</v>
      </c>
      <c r="H85" s="639" t="s">
        <v>275</v>
      </c>
      <c r="I85" s="630"/>
      <c r="J85" s="630"/>
      <c r="K85" s="630"/>
      <c r="L85" s="630"/>
      <c r="T85" s="629">
        <v>565</v>
      </c>
      <c r="U85" s="629">
        <v>670</v>
      </c>
      <c r="V85" s="629">
        <f aca="true" t="shared" si="3" ref="V85:W90">+IF(T85=G86,0,1)</f>
        <v>1</v>
      </c>
      <c r="W85" s="629">
        <f t="shared" si="3"/>
        <v>1</v>
      </c>
    </row>
    <row r="86" spans="2:23" ht="12.75">
      <c r="B86" s="640" t="s">
        <v>11</v>
      </c>
      <c r="C86" s="672" t="s">
        <v>9</v>
      </c>
      <c r="D86" s="673" t="s">
        <v>10</v>
      </c>
      <c r="E86" s="641" t="s">
        <v>12</v>
      </c>
      <c r="F86" s="642" t="s">
        <v>149</v>
      </c>
      <c r="G86" s="843">
        <f>+'(2) Presupuesto de la Conexión'!G86*1.12</f>
        <v>819.1085280000001</v>
      </c>
      <c r="H86" s="843">
        <f>+'(2) Presupuesto de la Conexión'!H86*1.12</f>
        <v>976.5762720000001</v>
      </c>
      <c r="I86" s="630"/>
      <c r="J86" s="630"/>
      <c r="K86" s="630"/>
      <c r="L86" s="630"/>
      <c r="N86" s="629">
        <f>+G86/'(2) Presupuesto de la Conexión'!G86</f>
        <v>1.12</v>
      </c>
      <c r="O86" s="629">
        <f>+H86/'(2) Presupuesto de la Conexión'!H86</f>
        <v>1.12</v>
      </c>
      <c r="T86" s="629">
        <v>619</v>
      </c>
      <c r="V86" s="629">
        <f t="shared" si="3"/>
        <v>1</v>
      </c>
      <c r="W86" s="629">
        <f t="shared" si="3"/>
        <v>0</v>
      </c>
    </row>
    <row r="87" spans="2:23" ht="12.75">
      <c r="B87" s="643"/>
      <c r="C87" s="674"/>
      <c r="D87" s="675"/>
      <c r="E87" s="645"/>
      <c r="F87" s="642" t="s">
        <v>288</v>
      </c>
      <c r="G87" s="843">
        <f>+'(2) Presupuesto de la Conexión'!G87*1.12</f>
        <v>875.741664</v>
      </c>
      <c r="H87" s="843"/>
      <c r="I87" s="630"/>
      <c r="J87" s="630"/>
      <c r="K87" s="630"/>
      <c r="L87" s="630"/>
      <c r="N87" s="629">
        <f>+G87/'(2) Presupuesto de la Conexión'!G87</f>
        <v>1.12</v>
      </c>
      <c r="T87" s="629">
        <v>785</v>
      </c>
      <c r="U87" s="629">
        <v>694</v>
      </c>
      <c r="V87" s="629">
        <f t="shared" si="3"/>
        <v>1</v>
      </c>
      <c r="W87" s="629">
        <f t="shared" si="3"/>
        <v>1</v>
      </c>
    </row>
    <row r="88" spans="2:23" ht="12.75">
      <c r="B88" s="643"/>
      <c r="C88" s="674"/>
      <c r="D88" s="675"/>
      <c r="E88" s="645"/>
      <c r="F88" s="642" t="s">
        <v>150</v>
      </c>
      <c r="G88" s="843">
        <f>+'(2) Presupuesto de la Conexión'!G88*1.12</f>
        <v>1139.5692000000001</v>
      </c>
      <c r="H88" s="843">
        <f>+'(2) Presupuesto de la Conexión'!H88*1.12</f>
        <v>982.1014560000001</v>
      </c>
      <c r="I88" s="630"/>
      <c r="J88" s="630"/>
      <c r="K88" s="630"/>
      <c r="L88" s="630"/>
      <c r="N88" s="629">
        <f>+G88/'(2) Presupuesto de la Conexión'!G88</f>
        <v>1.12</v>
      </c>
      <c r="O88" s="629">
        <f>+H88/'(2) Presupuesto de la Conexión'!H88</f>
        <v>1.12</v>
      </c>
      <c r="T88" s="629">
        <v>840</v>
      </c>
      <c r="V88" s="629">
        <f t="shared" si="3"/>
        <v>1</v>
      </c>
      <c r="W88" s="629">
        <f t="shared" si="3"/>
        <v>0</v>
      </c>
    </row>
    <row r="89" spans="2:23" ht="12.75">
      <c r="B89" s="643"/>
      <c r="C89" s="674"/>
      <c r="D89" s="675"/>
      <c r="E89" s="645"/>
      <c r="F89" s="642" t="s">
        <v>289</v>
      </c>
      <c r="G89" s="843">
        <f>+'(2) Presupuesto de la Conexión'!G89*1.12</f>
        <v>1196.2023360000003</v>
      </c>
      <c r="H89" s="843"/>
      <c r="I89" s="630"/>
      <c r="J89" s="630"/>
      <c r="K89" s="630"/>
      <c r="L89" s="630"/>
      <c r="N89" s="629">
        <f>+G89/'(2) Presupuesto de la Conexión'!G89</f>
        <v>1.12</v>
      </c>
      <c r="T89" s="629">
        <v>618</v>
      </c>
      <c r="U89" s="629">
        <v>674</v>
      </c>
      <c r="V89" s="629">
        <f t="shared" si="3"/>
        <v>1</v>
      </c>
      <c r="W89" s="629">
        <f t="shared" si="3"/>
        <v>1</v>
      </c>
    </row>
    <row r="90" spans="2:25" ht="12.75">
      <c r="B90" s="643"/>
      <c r="C90" s="674"/>
      <c r="D90" s="673" t="s">
        <v>14</v>
      </c>
      <c r="E90" s="641" t="s">
        <v>15</v>
      </c>
      <c r="F90" s="642" t="s">
        <v>149</v>
      </c>
      <c r="G90" s="843">
        <f>+'(2) Presupuesto de la Conexión'!G90*1.12</f>
        <v>853.640928</v>
      </c>
      <c r="H90" s="843">
        <f>+'(2) Presupuesto de la Conexión'!H90*1.12</f>
        <v>983.4827520000001</v>
      </c>
      <c r="I90" s="630"/>
      <c r="J90" s="630"/>
      <c r="K90" s="630"/>
      <c r="L90" s="630"/>
      <c r="N90" s="629">
        <f>+G90/'(2) Presupuesto de la Conexión'!G90</f>
        <v>1.12</v>
      </c>
      <c r="O90" s="629">
        <f>+H90/'(2) Presupuesto de la Conexión'!H90</f>
        <v>1.12</v>
      </c>
      <c r="T90" s="629">
        <v>839</v>
      </c>
      <c r="U90" s="629">
        <v>717</v>
      </c>
      <c r="V90" s="629">
        <f t="shared" si="3"/>
        <v>1</v>
      </c>
      <c r="W90" s="629">
        <f t="shared" si="3"/>
        <v>1</v>
      </c>
      <c r="X90" s="629">
        <f>+SUM(V85:W90)</f>
        <v>10</v>
      </c>
      <c r="Y90" s="629" t="b">
        <f>+IF(X90=0,"ok")</f>
        <v>0</v>
      </c>
    </row>
    <row r="91" spans="2:15" ht="12.75">
      <c r="B91" s="647"/>
      <c r="C91" s="676"/>
      <c r="D91" s="677"/>
      <c r="E91" s="662"/>
      <c r="F91" s="642" t="s">
        <v>150</v>
      </c>
      <c r="G91" s="843">
        <f>+'(2) Presupuesto de la Conexión'!G91*1.12</f>
        <v>1175.4828960000002</v>
      </c>
      <c r="H91" s="843">
        <f>+'(2) Presupuesto de la Conexión'!H91*1.12</f>
        <v>1001.4396000000002</v>
      </c>
      <c r="I91" s="630"/>
      <c r="J91" s="630"/>
      <c r="K91" s="630"/>
      <c r="L91" s="630"/>
      <c r="N91" s="629">
        <f>+G91/'(2) Presupuesto de la Conexión'!G91</f>
        <v>1.12</v>
      </c>
      <c r="O91" s="629">
        <f>+H91/'(2) Presupuesto de la Conexión'!H91</f>
        <v>1.12</v>
      </c>
    </row>
    <row r="92" spans="2:12" ht="12.75">
      <c r="B92" s="1" t="s">
        <v>432</v>
      </c>
      <c r="C92" s="668"/>
      <c r="D92" s="668"/>
      <c r="E92" s="668"/>
      <c r="F92" s="668"/>
      <c r="G92" s="668"/>
      <c r="H92" s="668"/>
      <c r="I92" s="630"/>
      <c r="J92" s="630"/>
      <c r="K92" s="630"/>
      <c r="L92" s="630"/>
    </row>
    <row r="93" spans="2:12" ht="12.75">
      <c r="B93" s="668" t="s">
        <v>277</v>
      </c>
      <c r="C93" s="668"/>
      <c r="D93" s="668"/>
      <c r="E93" s="668"/>
      <c r="F93" s="668"/>
      <c r="G93" s="668"/>
      <c r="H93" s="668"/>
      <c r="I93" s="630"/>
      <c r="J93" s="630"/>
      <c r="K93" s="630"/>
      <c r="L93" s="630"/>
    </row>
    <row r="94" spans="2:12" ht="12.75">
      <c r="B94" s="633" t="s">
        <v>278</v>
      </c>
      <c r="C94" s="633"/>
      <c r="D94" s="633"/>
      <c r="E94" s="633"/>
      <c r="F94" s="633"/>
      <c r="G94" s="633"/>
      <c r="H94" s="633"/>
      <c r="I94" s="630"/>
      <c r="J94" s="630"/>
      <c r="K94" s="630"/>
      <c r="L94" s="630"/>
    </row>
    <row r="95" spans="2:12" ht="12.75">
      <c r="B95" s="633"/>
      <c r="C95" s="633"/>
      <c r="D95" s="633"/>
      <c r="E95" s="633"/>
      <c r="F95" s="633"/>
      <c r="G95" s="633"/>
      <c r="H95" s="633"/>
      <c r="I95" s="630"/>
      <c r="J95" s="630"/>
      <c r="K95" s="630"/>
      <c r="L95" s="630"/>
    </row>
    <row r="96" spans="2:12" ht="12.75">
      <c r="B96" s="630"/>
      <c r="C96" s="630"/>
      <c r="D96" s="630"/>
      <c r="E96" s="630"/>
      <c r="F96" s="630"/>
      <c r="G96" s="630"/>
      <c r="H96" s="630"/>
      <c r="I96" s="630"/>
      <c r="J96" s="630"/>
      <c r="K96" s="630"/>
      <c r="L96" s="630"/>
    </row>
    <row r="97" spans="2:12" ht="15.75">
      <c r="B97" s="632" t="s">
        <v>454</v>
      </c>
      <c r="C97" s="678"/>
      <c r="D97" s="678"/>
      <c r="E97" s="678"/>
      <c r="F97" s="678"/>
      <c r="G97" s="633"/>
      <c r="H97" s="630"/>
      <c r="I97" s="630"/>
      <c r="J97" s="630"/>
      <c r="K97" s="630"/>
      <c r="L97" s="630"/>
    </row>
    <row r="98" spans="2:12" ht="12.75">
      <c r="B98" s="678"/>
      <c r="C98" s="678"/>
      <c r="D98" s="633"/>
      <c r="E98" s="633"/>
      <c r="F98" s="633"/>
      <c r="G98" s="678"/>
      <c r="H98" s="630"/>
      <c r="I98" s="630"/>
      <c r="J98" s="630"/>
      <c r="K98" s="630"/>
      <c r="L98" s="630"/>
    </row>
    <row r="99" spans="2:12" ht="12.75">
      <c r="B99" s="635" t="s">
        <v>6</v>
      </c>
      <c r="C99" s="635" t="s">
        <v>3</v>
      </c>
      <c r="D99" s="669" t="s">
        <v>4</v>
      </c>
      <c r="E99" s="635" t="s">
        <v>7</v>
      </c>
      <c r="F99" s="635" t="s">
        <v>49</v>
      </c>
      <c r="G99" s="635" t="s">
        <v>93</v>
      </c>
      <c r="H99" s="630"/>
      <c r="I99" s="630"/>
      <c r="J99" s="630"/>
      <c r="K99" s="630"/>
      <c r="L99" s="630"/>
    </row>
    <row r="100" spans="2:12" ht="12.75">
      <c r="B100" s="658"/>
      <c r="C100" s="658"/>
      <c r="D100" s="670"/>
      <c r="E100" s="658" t="s">
        <v>86</v>
      </c>
      <c r="F100" s="658" t="s">
        <v>51</v>
      </c>
      <c r="G100" s="658"/>
      <c r="H100" s="630"/>
      <c r="I100" s="630"/>
      <c r="J100" s="630"/>
      <c r="K100" s="630"/>
      <c r="L100" s="630"/>
    </row>
    <row r="101" spans="2:14" ht="12.75">
      <c r="B101" s="640" t="s">
        <v>11</v>
      </c>
      <c r="C101" s="672" t="s">
        <v>9</v>
      </c>
      <c r="D101" s="673" t="s">
        <v>10</v>
      </c>
      <c r="E101" s="641" t="s">
        <v>12</v>
      </c>
      <c r="F101" s="642" t="s">
        <v>58</v>
      </c>
      <c r="G101" s="843">
        <f>+'(2) Presupuesto de la Conexión'!G101*1.12</f>
        <v>6.400576000000001</v>
      </c>
      <c r="H101" s="630"/>
      <c r="I101" s="630"/>
      <c r="J101" s="630"/>
      <c r="K101" s="630"/>
      <c r="L101" s="630"/>
      <c r="N101" s="629">
        <f>+G101/'(2) Presupuesto de la Conexión'!G101</f>
        <v>1.12</v>
      </c>
    </row>
    <row r="102" spans="2:14" ht="12.75">
      <c r="B102" s="647"/>
      <c r="C102" s="676"/>
      <c r="D102" s="679" t="s">
        <v>14</v>
      </c>
      <c r="E102" s="666" t="s">
        <v>15</v>
      </c>
      <c r="F102" s="642" t="s">
        <v>58</v>
      </c>
      <c r="G102" s="843">
        <f>+'(2) Presupuesto de la Conexión'!G102*1.12</f>
        <v>8.000720000000001</v>
      </c>
      <c r="H102" s="630"/>
      <c r="I102" s="630"/>
      <c r="J102" s="630"/>
      <c r="K102" s="630"/>
      <c r="L102" s="630"/>
      <c r="N102" s="629">
        <f>+G102/'(2) Presupuesto de la Conexión'!G102</f>
        <v>1.12</v>
      </c>
    </row>
    <row r="103" spans="2:12" ht="12.75">
      <c r="B103" s="644"/>
      <c r="C103" s="644"/>
      <c r="D103" s="644"/>
      <c r="E103" s="748"/>
      <c r="F103" s="689"/>
      <c r="G103" s="854"/>
      <c r="H103" s="630"/>
      <c r="I103" s="630"/>
      <c r="J103" s="630"/>
      <c r="K103" s="630"/>
      <c r="L103" s="630"/>
    </row>
    <row r="104" spans="2:12" ht="12.75">
      <c r="B104" s="630"/>
      <c r="C104" s="630"/>
      <c r="D104" s="630"/>
      <c r="E104" s="630"/>
      <c r="F104" s="630"/>
      <c r="G104" s="630"/>
      <c r="H104" s="630"/>
      <c r="I104" s="630"/>
      <c r="J104" s="630"/>
      <c r="K104" s="630"/>
      <c r="L104" s="630"/>
    </row>
    <row r="105" spans="2:12" ht="15.75">
      <c r="B105" s="632" t="s">
        <v>455</v>
      </c>
      <c r="C105" s="630"/>
      <c r="D105" s="633"/>
      <c r="E105" s="633"/>
      <c r="F105" s="633"/>
      <c r="G105" s="633"/>
      <c r="H105" s="633"/>
      <c r="I105" s="633"/>
      <c r="J105" s="633"/>
      <c r="K105" s="633"/>
      <c r="L105" s="633"/>
    </row>
    <row r="106" spans="2:12" ht="12.75">
      <c r="B106" s="633"/>
      <c r="C106" s="633"/>
      <c r="D106" s="633"/>
      <c r="E106" s="633"/>
      <c r="F106" s="633"/>
      <c r="G106" s="680" t="s">
        <v>98</v>
      </c>
      <c r="H106" s="681"/>
      <c r="I106" s="682" t="s">
        <v>99</v>
      </c>
      <c r="J106" s="681"/>
      <c r="K106" s="682" t="s">
        <v>245</v>
      </c>
      <c r="L106" s="681"/>
    </row>
    <row r="107" spans="2:12" ht="12.75">
      <c r="B107" s="635" t="s">
        <v>6</v>
      </c>
      <c r="C107" s="635" t="s">
        <v>3</v>
      </c>
      <c r="D107" s="669" t="s">
        <v>4</v>
      </c>
      <c r="E107" s="635" t="s">
        <v>7</v>
      </c>
      <c r="F107" s="669" t="s">
        <v>49</v>
      </c>
      <c r="G107" s="635" t="s">
        <v>35</v>
      </c>
      <c r="H107" s="635" t="s">
        <v>36</v>
      </c>
      <c r="I107" s="635" t="s">
        <v>35</v>
      </c>
      <c r="J107" s="635" t="s">
        <v>36</v>
      </c>
      <c r="K107" s="635" t="s">
        <v>35</v>
      </c>
      <c r="L107" s="635" t="s">
        <v>36</v>
      </c>
    </row>
    <row r="108" spans="2:12" ht="12.75">
      <c r="B108" s="683"/>
      <c r="C108" s="683"/>
      <c r="D108" s="684"/>
      <c r="E108" s="685" t="s">
        <v>86</v>
      </c>
      <c r="F108" s="686" t="s">
        <v>51</v>
      </c>
      <c r="G108" s="846"/>
      <c r="H108" s="846"/>
      <c r="I108" s="846"/>
      <c r="J108" s="846"/>
      <c r="K108" s="846"/>
      <c r="L108" s="846"/>
    </row>
    <row r="109" spans="2:31" ht="12.75">
      <c r="B109" s="640" t="s">
        <v>18</v>
      </c>
      <c r="C109" s="640" t="s">
        <v>37</v>
      </c>
      <c r="D109" s="650" t="s">
        <v>38</v>
      </c>
      <c r="E109" s="641" t="s">
        <v>39</v>
      </c>
      <c r="F109" s="660" t="s">
        <v>291</v>
      </c>
      <c r="G109" s="843">
        <f>+'(2) Presupuesto de la Conexión'!G109*1.12</f>
        <v>13327.078800000003</v>
      </c>
      <c r="H109" s="843">
        <f>+'(2) Presupuesto de la Conexión'!H109*1.12</f>
        <v>22776.946304</v>
      </c>
      <c r="I109" s="843">
        <f>+'(2) Presupuesto de la Conexión'!I109*1.12</f>
        <v>16349.219376000003</v>
      </c>
      <c r="J109" s="843">
        <f>+'(2) Presupuesto de la Conexión'!J109*1.12</f>
        <v>29755.125008000003</v>
      </c>
      <c r="K109" s="843">
        <f>+'(2) Presupuesto de la Conexión'!K109*1.12</f>
        <v>18385.356528000004</v>
      </c>
      <c r="L109" s="843">
        <f>+'(2) Presupuesto de la Conexión'!L109*1.12</f>
        <v>29797.878544000003</v>
      </c>
      <c r="N109" s="629">
        <f>+G109/'(2) Presupuesto de la Conexión'!G109</f>
        <v>1.12</v>
      </c>
      <c r="O109" s="629">
        <f>+H109/'(2) Presupuesto de la Conexión'!H109</f>
        <v>1.12</v>
      </c>
      <c r="P109" s="629">
        <f>+I109/'(2) Presupuesto de la Conexión'!I109</f>
        <v>1.12</v>
      </c>
      <c r="Q109" s="629">
        <f>+J109/'(2) Presupuesto de la Conexión'!J109</f>
        <v>1.12</v>
      </c>
      <c r="R109" s="629">
        <f>+K109/'(2) Presupuesto de la Conexión'!K109</f>
        <v>1.12</v>
      </c>
      <c r="T109" s="629">
        <v>8860</v>
      </c>
      <c r="U109" s="629">
        <v>14422</v>
      </c>
      <c r="V109" s="629">
        <v>9721</v>
      </c>
      <c r="W109" s="629">
        <v>18728</v>
      </c>
      <c r="X109" s="629">
        <v>10825</v>
      </c>
      <c r="Y109" s="629">
        <v>18755</v>
      </c>
      <c r="AA109" s="629">
        <f aca="true" t="shared" si="4" ref="AA109:AE113">+IF(T109=G109,0,1)</f>
        <v>1</v>
      </c>
      <c r="AB109" s="629">
        <f t="shared" si="4"/>
        <v>1</v>
      </c>
      <c r="AC109" s="629">
        <f t="shared" si="4"/>
        <v>1</v>
      </c>
      <c r="AD109" s="629">
        <f t="shared" si="4"/>
        <v>1</v>
      </c>
      <c r="AE109" s="629">
        <f t="shared" si="4"/>
        <v>1</v>
      </c>
    </row>
    <row r="110" spans="2:31" ht="12.75">
      <c r="B110" s="643"/>
      <c r="C110" s="643"/>
      <c r="D110" s="650" t="s">
        <v>41</v>
      </c>
      <c r="E110" s="641" t="s">
        <v>42</v>
      </c>
      <c r="F110" s="660" t="s">
        <v>291</v>
      </c>
      <c r="G110" s="843">
        <f>+'(2) Presupuesto de la Conexión'!G110*1.12</f>
        <v>17822.88032</v>
      </c>
      <c r="H110" s="843">
        <f>+'(2) Presupuesto de la Conexión'!H110*1.12</f>
        <v>20490.968176000002</v>
      </c>
      <c r="I110" s="843">
        <f>+'(2) Presupuesto de la Conexión'!I110*1.12</f>
        <v>16446.750880000003</v>
      </c>
      <c r="J110" s="843">
        <f>+'(2) Presupuesto de la Conexión'!J110*1.12</f>
        <v>26715.615808000002</v>
      </c>
      <c r="K110" s="843">
        <f>+'(2) Presupuesto de la Conexión'!K110*1.12</f>
        <v>18385.356528000004</v>
      </c>
      <c r="L110" s="843">
        <f>+'(2) Presupuesto de la Conexión'!L110*1.12</f>
        <v>29797.878544000003</v>
      </c>
      <c r="N110" s="629">
        <f>+G110/'(2) Presupuesto de la Conexión'!G110</f>
        <v>1.12</v>
      </c>
      <c r="O110" s="629">
        <f>+H110/'(2) Presupuesto de la Conexión'!H110</f>
        <v>1.12</v>
      </c>
      <c r="P110" s="629">
        <f>+I110/'(2) Presupuesto de la Conexión'!I110</f>
        <v>1.12</v>
      </c>
      <c r="Q110" s="629">
        <f>+J110/'(2) Presupuesto de la Conexión'!J110</f>
        <v>1.12</v>
      </c>
      <c r="R110" s="629">
        <f>+K110/'(2) Presupuesto de la Conexión'!K110</f>
        <v>1.12</v>
      </c>
      <c r="T110" s="629">
        <v>9603</v>
      </c>
      <c r="U110" s="629">
        <v>13012</v>
      </c>
      <c r="V110" s="629">
        <v>9774</v>
      </c>
      <c r="W110" s="629">
        <v>16853</v>
      </c>
      <c r="X110" s="629">
        <v>10825</v>
      </c>
      <c r="Y110" s="629">
        <v>18755</v>
      </c>
      <c r="AA110" s="629">
        <f t="shared" si="4"/>
        <v>1</v>
      </c>
      <c r="AB110" s="629">
        <f t="shared" si="4"/>
        <v>1</v>
      </c>
      <c r="AC110" s="629">
        <f t="shared" si="4"/>
        <v>1</v>
      </c>
      <c r="AD110" s="629">
        <f t="shared" si="4"/>
        <v>1</v>
      </c>
      <c r="AE110" s="629">
        <f t="shared" si="4"/>
        <v>1</v>
      </c>
    </row>
    <row r="111" spans="2:31" ht="12.75">
      <c r="B111" s="643"/>
      <c r="C111" s="643"/>
      <c r="D111" s="650" t="s">
        <v>43</v>
      </c>
      <c r="E111" s="641" t="s">
        <v>44</v>
      </c>
      <c r="F111" s="660" t="s">
        <v>291</v>
      </c>
      <c r="G111" s="843">
        <f>+'(2) Presupuesto de la Conexión'!G111*1.12</f>
        <v>16005.855040000002</v>
      </c>
      <c r="H111" s="843">
        <f>+'(2) Presupuesto de la Conexión'!H111*1.12</f>
        <v>19590.471824000004</v>
      </c>
      <c r="I111" s="843">
        <f>+'(2) Presupuesto de la Conexión'!I111*1.12</f>
        <v>16905.015344000003</v>
      </c>
      <c r="J111" s="843">
        <f>+'(2) Presupuesto de la Conexión'!J111*1.12</f>
        <v>25518.516800000005</v>
      </c>
      <c r="K111" s="843">
        <f>+'(2) Presupuesto de la Conexión'!K111*1.12</f>
        <v>19284.516832000005</v>
      </c>
      <c r="L111" s="843">
        <f>+'(2) Presupuesto de la Conexión'!L111*1.12</f>
        <v>33349.094128000004</v>
      </c>
      <c r="N111" s="629">
        <f>+G111/'(2) Presupuesto de la Conexión'!G111</f>
        <v>1.12</v>
      </c>
      <c r="O111" s="629">
        <f>+H111/'(2) Presupuesto de la Conexión'!H111</f>
        <v>1.12</v>
      </c>
      <c r="P111" s="629">
        <f>+I111/'(2) Presupuesto de la Conexión'!I111</f>
        <v>1.12</v>
      </c>
      <c r="Q111" s="629">
        <f>+J111/'(2) Presupuesto de la Conexión'!J111</f>
        <v>1.12</v>
      </c>
      <c r="R111" s="629">
        <f>+K111/'(2) Presupuesto de la Conexión'!K111</f>
        <v>1.12</v>
      </c>
      <c r="T111" s="629">
        <v>9522</v>
      </c>
      <c r="U111" s="629">
        <v>12456</v>
      </c>
      <c r="V111" s="629">
        <v>10022</v>
      </c>
      <c r="W111" s="629">
        <v>16114</v>
      </c>
      <c r="X111" s="629">
        <v>11313</v>
      </c>
      <c r="Y111" s="629">
        <v>20947</v>
      </c>
      <c r="AA111" s="629">
        <f t="shared" si="4"/>
        <v>1</v>
      </c>
      <c r="AB111" s="629">
        <f t="shared" si="4"/>
        <v>1</v>
      </c>
      <c r="AC111" s="629">
        <f t="shared" si="4"/>
        <v>1</v>
      </c>
      <c r="AD111" s="629">
        <f t="shared" si="4"/>
        <v>1</v>
      </c>
      <c r="AE111" s="629">
        <f t="shared" si="4"/>
        <v>1</v>
      </c>
    </row>
    <row r="112" spans="2:31" ht="12.75">
      <c r="B112" s="643"/>
      <c r="C112" s="643"/>
      <c r="D112" s="687" t="s">
        <v>45</v>
      </c>
      <c r="E112" s="641" t="s">
        <v>46</v>
      </c>
      <c r="F112" s="660" t="s">
        <v>291</v>
      </c>
      <c r="G112" s="843">
        <f>+'(2) Presupuesto de la Conexión'!G112*1.12</f>
        <v>16529.585856</v>
      </c>
      <c r="H112" s="843">
        <f>+'(2) Presupuesto de la Conexión'!H112*1.12</f>
        <v>18608.476544000005</v>
      </c>
      <c r="I112" s="843">
        <f>+'(2) Presupuesto de la Conexión'!I112*1.12</f>
        <v>16905.015344000003</v>
      </c>
      <c r="J112" s="843">
        <f>+'(2) Presupuesto de la Conexión'!J112*1.12</f>
        <v>25518.516800000005</v>
      </c>
      <c r="K112" s="843">
        <f>+'(2) Presupuesto de la Conexión'!K112*1.12</f>
        <v>19710.716144</v>
      </c>
      <c r="L112" s="843">
        <f>+'(2) Presupuesto de la Conexión'!L112*1.12</f>
        <v>32534.104848000006</v>
      </c>
      <c r="N112" s="629">
        <f>+G112/'(2) Presupuesto de la Conexión'!G112</f>
        <v>1.12</v>
      </c>
      <c r="O112" s="629">
        <f>+H112/'(2) Presupuesto de la Conexión'!H112</f>
        <v>1.12</v>
      </c>
      <c r="P112" s="629">
        <f>+I112/'(2) Presupuesto de la Conexión'!I112</f>
        <v>1.12</v>
      </c>
      <c r="Q112" s="629">
        <f>+J112/'(2) Presupuesto de la Conexión'!J112</f>
        <v>1.12</v>
      </c>
      <c r="R112" s="629">
        <f>+K112/'(2) Presupuesto de la Conexión'!K112</f>
        <v>1.12</v>
      </c>
      <c r="T112" s="629">
        <v>9806</v>
      </c>
      <c r="U112" s="629">
        <v>11850</v>
      </c>
      <c r="V112" s="629">
        <v>10022</v>
      </c>
      <c r="W112" s="629">
        <v>16114</v>
      </c>
      <c r="X112" s="629">
        <v>11544</v>
      </c>
      <c r="Y112" s="629">
        <v>20444</v>
      </c>
      <c r="AA112" s="629">
        <f t="shared" si="4"/>
        <v>1</v>
      </c>
      <c r="AB112" s="629">
        <f t="shared" si="4"/>
        <v>1</v>
      </c>
      <c r="AC112" s="629">
        <f t="shared" si="4"/>
        <v>1</v>
      </c>
      <c r="AD112" s="629">
        <f t="shared" si="4"/>
        <v>1</v>
      </c>
      <c r="AE112" s="629">
        <f t="shared" si="4"/>
        <v>1</v>
      </c>
    </row>
    <row r="113" spans="2:33" ht="12.75">
      <c r="B113" s="683"/>
      <c r="C113" s="683"/>
      <c r="D113" s="688" t="s">
        <v>177</v>
      </c>
      <c r="E113" s="666" t="s">
        <v>176</v>
      </c>
      <c r="F113" s="660" t="s">
        <v>291</v>
      </c>
      <c r="G113" s="843">
        <f>+'(2) Presupuesto de la Conexión'!G113*1.12</f>
        <v>20185.013184000003</v>
      </c>
      <c r="H113" s="843">
        <f>+'(2) Presupuesto de la Conexión'!H113*1.12</f>
        <v>19460.875168000002</v>
      </c>
      <c r="I113" s="843">
        <f>+'(2) Presupuesto de la Conexión'!I113*1.12</f>
        <v>18433.454256000005</v>
      </c>
      <c r="J113" s="843">
        <f>+'(2) Presupuesto de la Conexión'!J113*1.12</f>
        <v>25120.374496000004</v>
      </c>
      <c r="K113" s="843">
        <f>+'(2) Presupuesto de la Conexión'!K113*1.12</f>
        <v>21619.928736</v>
      </c>
      <c r="L113" s="843">
        <f>+'(2) Presupuesto de la Conexión'!L113*1.12</f>
        <v>30270.839536000007</v>
      </c>
      <c r="N113" s="629">
        <f>+G113/'(2) Presupuesto de la Conexión'!G113</f>
        <v>1.12</v>
      </c>
      <c r="O113" s="629">
        <f>+H113/'(2) Presupuesto de la Conexión'!H113</f>
        <v>1.12</v>
      </c>
      <c r="P113" s="629">
        <f>+I113/'(2) Presupuesto de la Conexión'!I113</f>
        <v>1.12</v>
      </c>
      <c r="Q113" s="629">
        <f>+J113/'(2) Presupuesto de la Conexión'!J113</f>
        <v>1.12</v>
      </c>
      <c r="R113" s="629">
        <f>+K113/'(2) Presupuesto de la Conexión'!K113</f>
        <v>1.12</v>
      </c>
      <c r="T113" s="629">
        <v>11788</v>
      </c>
      <c r="U113" s="629">
        <v>12376</v>
      </c>
      <c r="V113" s="629">
        <v>10851</v>
      </c>
      <c r="W113" s="629">
        <v>15869</v>
      </c>
      <c r="X113" s="629">
        <v>12580</v>
      </c>
      <c r="Y113" s="629">
        <v>19047</v>
      </c>
      <c r="AA113" s="629">
        <f t="shared" si="4"/>
        <v>1</v>
      </c>
      <c r="AB113" s="629">
        <f t="shared" si="4"/>
        <v>1</v>
      </c>
      <c r="AC113" s="629">
        <f t="shared" si="4"/>
        <v>1</v>
      </c>
      <c r="AD113" s="629">
        <f t="shared" si="4"/>
        <v>1</v>
      </c>
      <c r="AE113" s="629">
        <f t="shared" si="4"/>
        <v>1</v>
      </c>
      <c r="AF113" s="657">
        <f>+SUM(AA109:AE113)</f>
        <v>25</v>
      </c>
      <c r="AG113" s="629" t="b">
        <f>+IF(AF113=0,"ok")</f>
        <v>0</v>
      </c>
    </row>
    <row r="114" spans="2:32" ht="12.75">
      <c r="B114" s="855"/>
      <c r="C114" s="855"/>
      <c r="D114" s="644"/>
      <c r="E114" s="748"/>
      <c r="F114" s="689"/>
      <c r="G114" s="854"/>
      <c r="H114" s="854"/>
      <c r="I114" s="854"/>
      <c r="J114" s="854"/>
      <c r="K114" s="854"/>
      <c r="L114" s="854"/>
      <c r="AF114" s="657"/>
    </row>
    <row r="115" spans="2:32" ht="12.75">
      <c r="B115" s="855"/>
      <c r="C115" s="855"/>
      <c r="D115" s="644"/>
      <c r="E115" s="748"/>
      <c r="F115" s="689"/>
      <c r="G115" s="854"/>
      <c r="H115" s="854"/>
      <c r="I115" s="854"/>
      <c r="J115" s="854"/>
      <c r="K115" s="854"/>
      <c r="L115" s="854"/>
      <c r="AF115" s="657"/>
    </row>
    <row r="116" spans="2:32" ht="12.75">
      <c r="B116" s="855"/>
      <c r="C116" s="855"/>
      <c r="D116" s="644"/>
      <c r="E116" s="748"/>
      <c r="F116" s="689"/>
      <c r="G116" s="854"/>
      <c r="H116" s="854"/>
      <c r="I116" s="854"/>
      <c r="J116" s="854"/>
      <c r="K116" s="854"/>
      <c r="L116" s="854"/>
      <c r="AF116" s="657"/>
    </row>
    <row r="117" spans="2:32" ht="12.75">
      <c r="B117" s="855"/>
      <c r="C117" s="855"/>
      <c r="D117" s="644"/>
      <c r="E117" s="748"/>
      <c r="F117" s="689"/>
      <c r="G117" s="854"/>
      <c r="H117" s="854"/>
      <c r="I117" s="854"/>
      <c r="J117" s="854"/>
      <c r="K117" s="854"/>
      <c r="L117" s="854"/>
      <c r="AF117" s="657"/>
    </row>
    <row r="118" spans="2:32" ht="12.75">
      <c r="B118" s="855"/>
      <c r="C118" s="855"/>
      <c r="D118" s="644"/>
      <c r="E118" s="748"/>
      <c r="F118" s="689"/>
      <c r="G118" s="854"/>
      <c r="H118" s="854"/>
      <c r="I118" s="854"/>
      <c r="J118" s="854"/>
      <c r="K118" s="854"/>
      <c r="L118" s="854"/>
      <c r="AF118" s="657"/>
    </row>
    <row r="119" spans="2:32" ht="12.75">
      <c r="B119" s="855"/>
      <c r="C119" s="855"/>
      <c r="D119" s="644"/>
      <c r="E119" s="748"/>
      <c r="F119" s="689"/>
      <c r="G119" s="854"/>
      <c r="H119" s="854"/>
      <c r="I119" s="854"/>
      <c r="J119" s="854"/>
      <c r="K119" s="854"/>
      <c r="L119" s="854"/>
      <c r="AF119" s="657"/>
    </row>
    <row r="120" spans="2:32" ht="12.75">
      <c r="B120" s="855"/>
      <c r="C120" s="855"/>
      <c r="D120" s="644"/>
      <c r="E120" s="748"/>
      <c r="F120" s="689"/>
      <c r="G120" s="854"/>
      <c r="H120" s="854"/>
      <c r="I120" s="854"/>
      <c r="J120" s="854"/>
      <c r="K120" s="854"/>
      <c r="L120" s="854"/>
      <c r="AF120" s="657"/>
    </row>
    <row r="121" spans="2:32" ht="12.75">
      <c r="B121" s="855"/>
      <c r="C121" s="855"/>
      <c r="D121" s="644"/>
      <c r="E121" s="748"/>
      <c r="F121" s="689"/>
      <c r="G121" s="854"/>
      <c r="H121" s="854"/>
      <c r="I121" s="854"/>
      <c r="J121" s="854"/>
      <c r="K121" s="854"/>
      <c r="L121" s="854"/>
      <c r="AF121" s="657"/>
    </row>
    <row r="122" spans="2:32" ht="12.75">
      <c r="B122" s="855"/>
      <c r="C122" s="855"/>
      <c r="D122" s="644"/>
      <c r="E122" s="748"/>
      <c r="F122" s="689"/>
      <c r="G122" s="854"/>
      <c r="H122" s="854"/>
      <c r="I122" s="854"/>
      <c r="J122" s="854"/>
      <c r="K122" s="854"/>
      <c r="L122" s="854"/>
      <c r="AF122" s="657"/>
    </row>
    <row r="123" spans="2:32" ht="12.75">
      <c r="B123" s="855"/>
      <c r="C123" s="855"/>
      <c r="D123" s="644"/>
      <c r="E123" s="748"/>
      <c r="F123" s="689"/>
      <c r="G123" s="854"/>
      <c r="H123" s="854"/>
      <c r="I123" s="854"/>
      <c r="J123" s="854"/>
      <c r="K123" s="854"/>
      <c r="L123" s="854"/>
      <c r="AF123" s="657"/>
    </row>
    <row r="124" spans="2:32" ht="12.75">
      <c r="B124" s="855"/>
      <c r="C124" s="855"/>
      <c r="D124" s="644"/>
      <c r="E124" s="748"/>
      <c r="F124" s="689"/>
      <c r="G124" s="854"/>
      <c r="H124" s="854"/>
      <c r="I124" s="854"/>
      <c r="J124" s="854"/>
      <c r="K124" s="854"/>
      <c r="L124" s="854"/>
      <c r="AF124" s="657"/>
    </row>
    <row r="125" spans="2:32" ht="12.75">
      <c r="B125" s="855"/>
      <c r="C125" s="855"/>
      <c r="D125" s="644"/>
      <c r="E125" s="748"/>
      <c r="F125" s="689"/>
      <c r="G125" s="854"/>
      <c r="H125" s="854"/>
      <c r="I125" s="854"/>
      <c r="J125" s="854"/>
      <c r="K125" s="854"/>
      <c r="L125" s="854"/>
      <c r="AF125" s="657"/>
    </row>
    <row r="126" spans="2:32" ht="12.75">
      <c r="B126" s="855"/>
      <c r="C126" s="855"/>
      <c r="D126" s="644"/>
      <c r="E126" s="748"/>
      <c r="F126" s="689"/>
      <c r="G126" s="854"/>
      <c r="H126" s="854"/>
      <c r="I126" s="854"/>
      <c r="J126" s="854"/>
      <c r="K126" s="854"/>
      <c r="L126" s="854"/>
      <c r="AF126" s="657"/>
    </row>
    <row r="127" spans="2:32" ht="12.75">
      <c r="B127" s="855"/>
      <c r="C127" s="855"/>
      <c r="D127" s="644"/>
      <c r="E127" s="748"/>
      <c r="F127" s="689"/>
      <c r="G127" s="854"/>
      <c r="H127" s="854"/>
      <c r="I127" s="854"/>
      <c r="J127" s="854"/>
      <c r="K127" s="854"/>
      <c r="L127" s="854"/>
      <c r="AF127" s="657"/>
    </row>
    <row r="128" spans="2:32" ht="12.75">
      <c r="B128" s="855"/>
      <c r="C128" s="855"/>
      <c r="D128" s="644"/>
      <c r="E128" s="748"/>
      <c r="F128" s="689"/>
      <c r="G128" s="854"/>
      <c r="H128" s="854"/>
      <c r="I128" s="854"/>
      <c r="J128" s="854"/>
      <c r="K128" s="854"/>
      <c r="L128" s="854"/>
      <c r="AF128" s="657"/>
    </row>
    <row r="129" spans="2:32" ht="12.75">
      <c r="B129" s="855"/>
      <c r="C129" s="855"/>
      <c r="D129" s="644"/>
      <c r="E129" s="748"/>
      <c r="F129" s="689"/>
      <c r="G129" s="854"/>
      <c r="H129" s="854"/>
      <c r="I129" s="854"/>
      <c r="J129" s="854"/>
      <c r="K129" s="854"/>
      <c r="L129" s="854"/>
      <c r="AF129" s="657"/>
    </row>
    <row r="130" spans="2:32" ht="12.75">
      <c r="B130" s="855"/>
      <c r="C130" s="855"/>
      <c r="D130" s="644"/>
      <c r="E130" s="748"/>
      <c r="F130" s="689"/>
      <c r="G130" s="854"/>
      <c r="H130" s="854"/>
      <c r="I130" s="854"/>
      <c r="J130" s="854"/>
      <c r="K130" s="854"/>
      <c r="L130" s="854"/>
      <c r="AF130" s="657"/>
    </row>
    <row r="131" spans="2:32" ht="12.75">
      <c r="B131" s="855"/>
      <c r="C131" s="855"/>
      <c r="D131" s="644"/>
      <c r="E131" s="748"/>
      <c r="F131" s="689"/>
      <c r="G131" s="854"/>
      <c r="H131" s="854"/>
      <c r="I131" s="854"/>
      <c r="J131" s="854"/>
      <c r="K131" s="854"/>
      <c r="L131" s="854"/>
      <c r="AF131" s="657"/>
    </row>
    <row r="132" spans="2:32" ht="12.75">
      <c r="B132" s="855"/>
      <c r="C132" s="855"/>
      <c r="D132" s="644"/>
      <c r="E132" s="748"/>
      <c r="F132" s="689"/>
      <c r="G132" s="854"/>
      <c r="H132" s="854"/>
      <c r="I132" s="854"/>
      <c r="J132" s="854"/>
      <c r="K132" s="854"/>
      <c r="L132" s="854"/>
      <c r="AF132" s="657"/>
    </row>
    <row r="133" spans="2:12" ht="12.75">
      <c r="B133" s="630"/>
      <c r="C133" s="630"/>
      <c r="D133" s="630"/>
      <c r="E133" s="630"/>
      <c r="F133" s="630"/>
      <c r="G133" s="630"/>
      <c r="H133" s="630"/>
      <c r="I133" s="630"/>
      <c r="J133" s="630"/>
      <c r="K133" s="630"/>
      <c r="L133" s="630"/>
    </row>
    <row r="134" spans="2:12" ht="15.75">
      <c r="B134" s="632" t="s">
        <v>456</v>
      </c>
      <c r="C134" s="633"/>
      <c r="D134" s="689"/>
      <c r="E134" s="633"/>
      <c r="F134" s="633"/>
      <c r="G134" s="633"/>
      <c r="H134" s="633"/>
      <c r="I134" s="630"/>
      <c r="J134" s="630"/>
      <c r="K134" s="630"/>
      <c r="L134" s="630"/>
    </row>
    <row r="135" spans="2:12" ht="12.75">
      <c r="B135" s="633"/>
      <c r="C135" s="633"/>
      <c r="D135" s="689"/>
      <c r="E135" s="633"/>
      <c r="F135" s="633"/>
      <c r="G135" s="633"/>
      <c r="H135" s="633"/>
      <c r="I135" s="630"/>
      <c r="J135" s="630"/>
      <c r="K135" s="630"/>
      <c r="L135" s="630"/>
    </row>
    <row r="136" spans="2:12" ht="25.5">
      <c r="B136" s="690" t="s">
        <v>100</v>
      </c>
      <c r="C136" s="690" t="s">
        <v>47</v>
      </c>
      <c r="D136" s="690" t="s">
        <v>181</v>
      </c>
      <c r="E136" s="690" t="s">
        <v>50</v>
      </c>
      <c r="F136" s="690" t="s">
        <v>98</v>
      </c>
      <c r="G136" s="690" t="s">
        <v>99</v>
      </c>
      <c r="H136" s="690" t="s">
        <v>245</v>
      </c>
      <c r="I136" s="630"/>
      <c r="J136" s="630"/>
      <c r="K136" s="630"/>
      <c r="L136" s="630"/>
    </row>
    <row r="137" spans="2:26" ht="12.75">
      <c r="B137" s="691" t="s">
        <v>101</v>
      </c>
      <c r="C137" s="692" t="s">
        <v>1</v>
      </c>
      <c r="D137" s="693" t="s">
        <v>72</v>
      </c>
      <c r="E137" s="694" t="s">
        <v>102</v>
      </c>
      <c r="F137" s="847">
        <f>+'(2) Presupuesto de la Conexión'!F134*1.12</f>
        <v>1509.683616</v>
      </c>
      <c r="G137" s="847">
        <f>+'(2) Presupuesto de la Conexión'!G134*1.12</f>
        <v>1307.798688</v>
      </c>
      <c r="H137" s="847">
        <f>+'(2) Presupuesto de la Conexión'!H134*1.12</f>
        <v>1251.389664</v>
      </c>
      <c r="I137" s="630"/>
      <c r="J137" s="630"/>
      <c r="K137" s="630"/>
      <c r="L137" s="630"/>
      <c r="N137" s="629">
        <f>+F137/'(2) Presupuesto de la Conexión'!F134</f>
        <v>1.12</v>
      </c>
      <c r="O137" s="629">
        <f>+G137/'(2) Presupuesto de la Conexión'!G134</f>
        <v>1.12</v>
      </c>
      <c r="P137" s="629">
        <f>+H137/'(2) Presupuesto de la Conexión'!H134</f>
        <v>1.12</v>
      </c>
      <c r="T137" s="629">
        <v>917</v>
      </c>
      <c r="U137" s="629">
        <v>799</v>
      </c>
      <c r="V137" s="629">
        <v>765</v>
      </c>
      <c r="X137" s="629">
        <f aca="true" t="shared" si="5" ref="X137:Z166">+IF(T137=F137,0,1)</f>
        <v>1</v>
      </c>
      <c r="Y137" s="629">
        <f t="shared" si="5"/>
        <v>1</v>
      </c>
      <c r="Z137" s="629">
        <f t="shared" si="5"/>
        <v>1</v>
      </c>
    </row>
    <row r="138" spans="2:26" ht="12.75">
      <c r="B138" s="695"/>
      <c r="C138" s="696"/>
      <c r="D138" s="697"/>
      <c r="E138" s="694" t="s">
        <v>103</v>
      </c>
      <c r="F138" s="847">
        <f>+'(2) Presupuesto de la Conexión'!F135*1.12</f>
        <v>231.573888</v>
      </c>
      <c r="G138" s="847">
        <f>+'(2) Presupuesto de la Conexión'!G135*1.12</f>
        <v>231.573888</v>
      </c>
      <c r="H138" s="847">
        <f>+'(2) Presupuesto de la Conexión'!H135*1.12</f>
        <v>231.573888</v>
      </c>
      <c r="I138" s="630"/>
      <c r="J138" s="630"/>
      <c r="K138" s="630"/>
      <c r="L138" s="630"/>
      <c r="N138" s="629">
        <f>+F138/'(2) Presupuesto de la Conexión'!F135</f>
        <v>1.12</v>
      </c>
      <c r="O138" s="629">
        <f>+G138/'(2) Presupuesto de la Conexión'!G135</f>
        <v>1.12</v>
      </c>
      <c r="P138" s="629">
        <f>+H138/'(2) Presupuesto de la Conexión'!H135</f>
        <v>1.12</v>
      </c>
      <c r="T138" s="629">
        <v>184</v>
      </c>
      <c r="U138" s="629">
        <v>184</v>
      </c>
      <c r="V138" s="629">
        <v>184</v>
      </c>
      <c r="X138" s="629">
        <f t="shared" si="5"/>
        <v>1</v>
      </c>
      <c r="Y138" s="629">
        <f t="shared" si="5"/>
        <v>1</v>
      </c>
      <c r="Z138" s="629">
        <f t="shared" si="5"/>
        <v>1</v>
      </c>
    </row>
    <row r="139" spans="2:26" ht="12.75">
      <c r="B139" s="695"/>
      <c r="C139" s="696"/>
      <c r="D139" s="698" t="s">
        <v>176</v>
      </c>
      <c r="E139" s="694" t="s">
        <v>102</v>
      </c>
      <c r="F139" s="847">
        <f>+'(2) Presupuesto de la Conexión'!F136*1.12</f>
        <v>1509.683616</v>
      </c>
      <c r="G139" s="847">
        <f>+'(2) Presupuesto de la Conexión'!G136*1.12</f>
        <v>1307.798688</v>
      </c>
      <c r="H139" s="847">
        <f>+'(2) Presupuesto de la Conexión'!H136*1.12</f>
        <v>1251.389664</v>
      </c>
      <c r="I139" s="630"/>
      <c r="J139" s="630"/>
      <c r="K139" s="630"/>
      <c r="L139" s="630"/>
      <c r="N139" s="629">
        <f>+F139/'(2) Presupuesto de la Conexión'!F136</f>
        <v>1.12</v>
      </c>
      <c r="O139" s="629">
        <f>+G139/'(2) Presupuesto de la Conexión'!G136</f>
        <v>1.12</v>
      </c>
      <c r="P139" s="629">
        <f>+H139/'(2) Presupuesto de la Conexión'!H136</f>
        <v>1.12</v>
      </c>
      <c r="T139" s="629">
        <v>917</v>
      </c>
      <c r="U139" s="629">
        <v>799</v>
      </c>
      <c r="V139" s="629">
        <v>765</v>
      </c>
      <c r="X139" s="629">
        <f t="shared" si="5"/>
        <v>1</v>
      </c>
      <c r="Y139" s="629">
        <f t="shared" si="5"/>
        <v>1</v>
      </c>
      <c r="Z139" s="629">
        <f t="shared" si="5"/>
        <v>1</v>
      </c>
    </row>
    <row r="140" spans="2:26" ht="12.75">
      <c r="B140" s="695"/>
      <c r="C140" s="696"/>
      <c r="D140" s="697"/>
      <c r="E140" s="694" t="s">
        <v>103</v>
      </c>
      <c r="F140" s="847">
        <f>+'(2) Presupuesto de la Conexión'!F137*1.12</f>
        <v>231.573888</v>
      </c>
      <c r="G140" s="847">
        <f>+'(2) Presupuesto de la Conexión'!G137*1.12</f>
        <v>231.573888</v>
      </c>
      <c r="H140" s="847">
        <f>+'(2) Presupuesto de la Conexión'!H137*1.12</f>
        <v>231.573888</v>
      </c>
      <c r="I140" s="630"/>
      <c r="J140" s="630"/>
      <c r="K140" s="630"/>
      <c r="L140" s="630"/>
      <c r="N140" s="629">
        <f>+F140/'(2) Presupuesto de la Conexión'!F137</f>
        <v>1.12</v>
      </c>
      <c r="O140" s="629">
        <f>+G140/'(2) Presupuesto de la Conexión'!G137</f>
        <v>1.12</v>
      </c>
      <c r="P140" s="629">
        <f>+H140/'(2) Presupuesto de la Conexión'!H137</f>
        <v>1.12</v>
      </c>
      <c r="T140" s="629">
        <v>184</v>
      </c>
      <c r="U140" s="629">
        <v>184</v>
      </c>
      <c r="V140" s="629">
        <v>184</v>
      </c>
      <c r="X140" s="629">
        <f t="shared" si="5"/>
        <v>1</v>
      </c>
      <c r="Y140" s="629">
        <f t="shared" si="5"/>
        <v>1</v>
      </c>
      <c r="Z140" s="629">
        <f t="shared" si="5"/>
        <v>1</v>
      </c>
    </row>
    <row r="141" spans="2:26" ht="12.75">
      <c r="B141" s="695"/>
      <c r="C141" s="699" t="s">
        <v>2</v>
      </c>
      <c r="D141" s="693" t="s">
        <v>72</v>
      </c>
      <c r="E141" s="694" t="s">
        <v>104</v>
      </c>
      <c r="F141" s="847">
        <f>+'(2) Presupuesto de la Conexión'!F138*1.12</f>
        <v>8551.904928</v>
      </c>
      <c r="G141" s="847">
        <f>+'(2) Presupuesto de la Conexión'!G138*1.12</f>
        <v>8551.904928</v>
      </c>
      <c r="H141" s="847">
        <f>+'(2) Presupuesto de la Conexión'!H138*1.12</f>
        <v>8551.904928</v>
      </c>
      <c r="I141" s="630"/>
      <c r="J141" s="630"/>
      <c r="K141" s="630"/>
      <c r="L141" s="630"/>
      <c r="N141" s="629">
        <f>+F141/'(2) Presupuesto de la Conexión'!F138</f>
        <v>1.12</v>
      </c>
      <c r="O141" s="629">
        <f>+G141/'(2) Presupuesto de la Conexión'!G138</f>
        <v>1.12</v>
      </c>
      <c r="P141" s="629">
        <f>+H141/'(2) Presupuesto de la Conexión'!H138</f>
        <v>1.12</v>
      </c>
      <c r="T141" s="629">
        <v>4792</v>
      </c>
      <c r="U141" s="629">
        <v>4792</v>
      </c>
      <c r="V141" s="629">
        <v>4792</v>
      </c>
      <c r="X141" s="629">
        <f t="shared" si="5"/>
        <v>1</v>
      </c>
      <c r="Y141" s="629">
        <f t="shared" si="5"/>
        <v>1</v>
      </c>
      <c r="Z141" s="629">
        <f t="shared" si="5"/>
        <v>1</v>
      </c>
    </row>
    <row r="142" spans="2:26" ht="12.75">
      <c r="B142" s="695"/>
      <c r="C142" s="700"/>
      <c r="D142" s="701" t="s">
        <v>176</v>
      </c>
      <c r="E142" s="694" t="s">
        <v>104</v>
      </c>
      <c r="F142" s="847">
        <f>+'(2) Presupuesto de la Conexión'!F139*1.12</f>
        <v>8551.904928</v>
      </c>
      <c r="G142" s="847">
        <f>+'(2) Presupuesto de la Conexión'!G139*1.12</f>
        <v>8551.904928</v>
      </c>
      <c r="H142" s="847">
        <f>+'(2) Presupuesto de la Conexión'!H139*1.12</f>
        <v>8551.904928</v>
      </c>
      <c r="I142" s="630"/>
      <c r="J142" s="630"/>
      <c r="K142" s="630"/>
      <c r="L142" s="630"/>
      <c r="N142" s="629">
        <f>+F142/'(2) Presupuesto de la Conexión'!F139</f>
        <v>1.12</v>
      </c>
      <c r="O142" s="629">
        <f>+G142/'(2) Presupuesto de la Conexión'!G139</f>
        <v>1.12</v>
      </c>
      <c r="P142" s="629">
        <f>+H142/'(2) Presupuesto de la Conexión'!H139</f>
        <v>1.12</v>
      </c>
      <c r="T142" s="629">
        <v>4792</v>
      </c>
      <c r="U142" s="629">
        <v>4792</v>
      </c>
      <c r="V142" s="629">
        <v>4792</v>
      </c>
      <c r="X142" s="629">
        <f t="shared" si="5"/>
        <v>1</v>
      </c>
      <c r="Y142" s="629">
        <f t="shared" si="5"/>
        <v>1</v>
      </c>
      <c r="Z142" s="629">
        <f t="shared" si="5"/>
        <v>1</v>
      </c>
    </row>
    <row r="143" spans="2:26" ht="12.75">
      <c r="B143" s="702" t="s">
        <v>105</v>
      </c>
      <c r="C143" s="699" t="s">
        <v>1</v>
      </c>
      <c r="D143" s="693"/>
      <c r="E143" s="694" t="s">
        <v>106</v>
      </c>
      <c r="F143" s="847">
        <f>+'(2) Presupuesto de la Conexión'!F140*1.12</f>
        <v>8948.252544</v>
      </c>
      <c r="G143" s="847">
        <f>+'(2) Presupuesto de la Conexión'!G140*1.12</f>
        <v>8545.967136</v>
      </c>
      <c r="H143" s="847">
        <f>+'(2) Presupuesto de la Conexión'!H140*1.12</f>
        <v>8676.59856</v>
      </c>
      <c r="I143" s="630"/>
      <c r="J143" s="630"/>
      <c r="K143" s="630"/>
      <c r="L143" s="630"/>
      <c r="N143" s="629">
        <f>+F143/'(2) Presupuesto de la Conexión'!F140</f>
        <v>1.12</v>
      </c>
      <c r="O143" s="629">
        <f>+G143/'(2) Presupuesto de la Conexión'!G140</f>
        <v>1.12</v>
      </c>
      <c r="P143" s="629">
        <f>+H143/'(2) Presupuesto de la Conexión'!H140</f>
        <v>1.12</v>
      </c>
      <c r="T143" s="629">
        <v>5527</v>
      </c>
      <c r="U143" s="629">
        <v>5290</v>
      </c>
      <c r="V143" s="629">
        <v>5359</v>
      </c>
      <c r="X143" s="629">
        <f t="shared" si="5"/>
        <v>1</v>
      </c>
      <c r="Y143" s="629">
        <f t="shared" si="5"/>
        <v>1</v>
      </c>
      <c r="Z143" s="629">
        <f t="shared" si="5"/>
        <v>1</v>
      </c>
    </row>
    <row r="144" spans="2:26" ht="12.75">
      <c r="B144" s="695"/>
      <c r="C144" s="696"/>
      <c r="D144" s="698" t="s">
        <v>72</v>
      </c>
      <c r="E144" s="694" t="s">
        <v>107</v>
      </c>
      <c r="F144" s="847">
        <f>+'(2) Presupuesto de la Conexión'!F141*1.12</f>
        <v>7276.764096</v>
      </c>
      <c r="G144" s="847">
        <f>+'(2) Presupuesto de la Conexión'!G141*1.12</f>
        <v>7291.608576</v>
      </c>
      <c r="H144" s="847">
        <f>+'(2) Presupuesto de la Conexión'!H141*1.12</f>
        <v>7682.018400000001</v>
      </c>
      <c r="I144" s="630"/>
      <c r="J144" s="630"/>
      <c r="K144" s="630"/>
      <c r="L144" s="630"/>
      <c r="N144" s="629">
        <f>+F144/'(2) Presupuesto de la Conexión'!F141</f>
        <v>1.12</v>
      </c>
      <c r="O144" s="629">
        <f>+G144/'(2) Presupuesto de la Conexión'!G141</f>
        <v>1.12</v>
      </c>
      <c r="P144" s="629">
        <f>+H144/'(2) Presupuesto de la Conexión'!H141</f>
        <v>1.12</v>
      </c>
      <c r="T144" s="629">
        <v>4466</v>
      </c>
      <c r="U144" s="629">
        <v>4475</v>
      </c>
      <c r="V144" s="629">
        <v>4709</v>
      </c>
      <c r="X144" s="629">
        <f t="shared" si="5"/>
        <v>1</v>
      </c>
      <c r="Y144" s="629">
        <f t="shared" si="5"/>
        <v>1</v>
      </c>
      <c r="Z144" s="629">
        <f t="shared" si="5"/>
        <v>1</v>
      </c>
    </row>
    <row r="145" spans="2:26" ht="12.75">
      <c r="B145" s="695"/>
      <c r="C145" s="696"/>
      <c r="D145" s="697"/>
      <c r="E145" s="694" t="s">
        <v>108</v>
      </c>
      <c r="F145" s="847">
        <f>+'(2) Presupuesto de la Conexión'!F142*1.12</f>
        <v>7447.475616000001</v>
      </c>
      <c r="G145" s="847">
        <f>+'(2) Presupuesto de la Conexión'!G142*1.12</f>
        <v>7260.435168000001</v>
      </c>
      <c r="H145" s="847">
        <f>+'(2) Presupuesto de la Conexión'!H142*1.12</f>
        <v>7306.453056</v>
      </c>
      <c r="I145" s="630"/>
      <c r="J145" s="630"/>
      <c r="K145" s="630"/>
      <c r="L145" s="630"/>
      <c r="N145" s="629">
        <f>+F145/'(2) Presupuesto de la Conexión'!F142</f>
        <v>1.12</v>
      </c>
      <c r="O145" s="629">
        <f>+G145/'(2) Presupuesto de la Conexión'!G142</f>
        <v>1.12</v>
      </c>
      <c r="P145" s="629">
        <f>+H145/'(2) Presupuesto de la Conexión'!H142</f>
        <v>1.12</v>
      </c>
      <c r="T145" s="629">
        <v>4708</v>
      </c>
      <c r="U145" s="629">
        <v>4598</v>
      </c>
      <c r="V145" s="629">
        <v>4616</v>
      </c>
      <c r="X145" s="629">
        <f t="shared" si="5"/>
        <v>1</v>
      </c>
      <c r="Y145" s="629">
        <f t="shared" si="5"/>
        <v>1</v>
      </c>
      <c r="Z145" s="629">
        <f t="shared" si="5"/>
        <v>1</v>
      </c>
    </row>
    <row r="146" spans="2:26" ht="12.75">
      <c r="B146" s="695"/>
      <c r="C146" s="696"/>
      <c r="D146" s="693"/>
      <c r="E146" s="694" t="s">
        <v>106</v>
      </c>
      <c r="F146" s="847">
        <f>+'(2) Presupuesto de la Conexión'!F143*1.12</f>
        <v>9439.604832</v>
      </c>
      <c r="G146" s="847">
        <f>+'(2) Presupuesto de la Conexión'!G143*1.12</f>
        <v>8545.967136</v>
      </c>
      <c r="H146" s="847">
        <f>+'(2) Presupuesto de la Conexión'!H143*1.12</f>
        <v>8676.59856</v>
      </c>
      <c r="I146" s="630"/>
      <c r="J146" s="630"/>
      <c r="K146" s="630"/>
      <c r="L146" s="630"/>
      <c r="N146" s="629">
        <f>+F146/'(2) Presupuesto de la Conexión'!F143</f>
        <v>1.12</v>
      </c>
      <c r="O146" s="629">
        <f>+G146/'(2) Presupuesto de la Conexión'!G143</f>
        <v>1.12</v>
      </c>
      <c r="P146" s="629">
        <f>+H146/'(2) Presupuesto de la Conexión'!H143</f>
        <v>1.12</v>
      </c>
      <c r="T146" s="629">
        <v>5814</v>
      </c>
      <c r="U146" s="629">
        <v>5290</v>
      </c>
      <c r="V146" s="629">
        <v>5359</v>
      </c>
      <c r="X146" s="629">
        <f t="shared" si="5"/>
        <v>1</v>
      </c>
      <c r="Y146" s="629">
        <f t="shared" si="5"/>
        <v>1</v>
      </c>
      <c r="Z146" s="629">
        <f t="shared" si="5"/>
        <v>1</v>
      </c>
    </row>
    <row r="147" spans="2:26" ht="12.75">
      <c r="B147" s="695"/>
      <c r="C147" s="696"/>
      <c r="D147" s="698" t="s">
        <v>176</v>
      </c>
      <c r="E147" s="694" t="s">
        <v>107</v>
      </c>
      <c r="F147" s="847">
        <f>+'(2) Presupuesto de la Conexión'!F144*1.12</f>
        <v>8391.584544</v>
      </c>
      <c r="G147" s="847">
        <f>+'(2) Presupuesto de la Conexión'!G144*1.12</f>
        <v>7355.439840000001</v>
      </c>
      <c r="H147" s="847">
        <f>+'(2) Presupuesto de la Conexión'!H144*1.12</f>
        <v>7682.018400000001</v>
      </c>
      <c r="I147" s="630"/>
      <c r="J147" s="630"/>
      <c r="K147" s="630"/>
      <c r="L147" s="630"/>
      <c r="N147" s="629">
        <f>+F147/'(2) Presupuesto de la Conexión'!F144</f>
        <v>1.12</v>
      </c>
      <c r="O147" s="629">
        <f>+G147/'(2) Presupuesto de la Conexión'!G144</f>
        <v>1.12</v>
      </c>
      <c r="P147" s="629">
        <f>+H147/'(2) Presupuesto de la Conexión'!H144</f>
        <v>1.12</v>
      </c>
      <c r="T147" s="629">
        <v>5070</v>
      </c>
      <c r="U147" s="629">
        <v>4517</v>
      </c>
      <c r="V147" s="629">
        <v>4709</v>
      </c>
      <c r="X147" s="629">
        <f t="shared" si="5"/>
        <v>1</v>
      </c>
      <c r="Y147" s="629">
        <f t="shared" si="5"/>
        <v>1</v>
      </c>
      <c r="Z147" s="629">
        <f t="shared" si="5"/>
        <v>1</v>
      </c>
    </row>
    <row r="148" spans="2:26" ht="12.75">
      <c r="B148" s="695"/>
      <c r="C148" s="696"/>
      <c r="D148" s="697"/>
      <c r="E148" s="694" t="s">
        <v>108</v>
      </c>
      <c r="F148" s="847">
        <f>+'(2) Presupuesto de la Conexión'!F145*1.12</f>
        <v>8214.935232</v>
      </c>
      <c r="G148" s="847">
        <f>+'(2) Presupuesto de la Conexión'!G145*1.12</f>
        <v>7324.266432</v>
      </c>
      <c r="H148" s="847">
        <f>+'(2) Presupuesto de la Conexión'!H145*1.12</f>
        <v>7306.453056</v>
      </c>
      <c r="I148" s="630"/>
      <c r="J148" s="630"/>
      <c r="K148" s="630"/>
      <c r="L148" s="630"/>
      <c r="N148" s="629">
        <f>+F148/'(2) Presupuesto de la Conexión'!F145</f>
        <v>1.12</v>
      </c>
      <c r="O148" s="629">
        <f>+G148/'(2) Presupuesto de la Conexión'!G145</f>
        <v>1.12</v>
      </c>
      <c r="P148" s="629">
        <f>+H148/'(2) Presupuesto de la Conexión'!H145</f>
        <v>1.12</v>
      </c>
      <c r="T148" s="629">
        <v>5138</v>
      </c>
      <c r="U148" s="629">
        <v>4640</v>
      </c>
      <c r="V148" s="629">
        <v>4616</v>
      </c>
      <c r="X148" s="629">
        <f t="shared" si="5"/>
        <v>1</v>
      </c>
      <c r="Y148" s="629">
        <f t="shared" si="5"/>
        <v>1</v>
      </c>
      <c r="Z148" s="629">
        <f t="shared" si="5"/>
        <v>1</v>
      </c>
    </row>
    <row r="149" spans="2:26" ht="12.75">
      <c r="B149" s="703"/>
      <c r="C149" s="704" t="s">
        <v>109</v>
      </c>
      <c r="D149" s="701" t="s">
        <v>72</v>
      </c>
      <c r="E149" s="694" t="s">
        <v>108</v>
      </c>
      <c r="F149" s="847">
        <f>+'(2) Presupuesto de la Conexión'!F146*1.12</f>
        <v>8638.002912</v>
      </c>
      <c r="G149" s="847">
        <f>+'(2) Presupuesto de la Conexión'!G146*1.12</f>
        <v>8235.717504</v>
      </c>
      <c r="H149" s="847">
        <f>+'(2) Presupuesto de la Conexión'!H146*1.12</f>
        <v>9159.044160000001</v>
      </c>
      <c r="I149" s="630"/>
      <c r="J149" s="630"/>
      <c r="K149" s="630"/>
      <c r="L149" s="630"/>
      <c r="N149" s="629">
        <f>+F149/'(2) Presupuesto de la Conexión'!F146</f>
        <v>1.12</v>
      </c>
      <c r="O149" s="629">
        <f>+G149/'(2) Presupuesto de la Conexión'!G146</f>
        <v>1.12</v>
      </c>
      <c r="P149" s="629">
        <f>+H149/'(2) Presupuesto de la Conexión'!H146</f>
        <v>1.12</v>
      </c>
      <c r="T149" s="629">
        <v>5648</v>
      </c>
      <c r="U149" s="629">
        <v>5412</v>
      </c>
      <c r="V149" s="629">
        <v>6075</v>
      </c>
      <c r="X149" s="629">
        <f t="shared" si="5"/>
        <v>1</v>
      </c>
      <c r="Y149" s="629">
        <f t="shared" si="5"/>
        <v>1</v>
      </c>
      <c r="Z149" s="629">
        <f t="shared" si="5"/>
        <v>1</v>
      </c>
    </row>
    <row r="150" spans="2:26" ht="12.75">
      <c r="B150" s="703"/>
      <c r="C150" s="705"/>
      <c r="D150" s="697" t="s">
        <v>176</v>
      </c>
      <c r="E150" s="694" t="s">
        <v>108</v>
      </c>
      <c r="F150" s="847">
        <f>+'(2) Presupuesto de la Conexión'!F147*1.12</f>
        <v>9334.209024000002</v>
      </c>
      <c r="G150" s="847">
        <f>+'(2) Presupuesto de la Conexión'!G147*1.12</f>
        <v>8235.717504</v>
      </c>
      <c r="H150" s="847">
        <f>+'(2) Presupuesto de la Conexión'!H147*1.12</f>
        <v>9159.044160000001</v>
      </c>
      <c r="I150" s="630"/>
      <c r="J150" s="630"/>
      <c r="K150" s="630"/>
      <c r="L150" s="630"/>
      <c r="N150" s="629">
        <f>+F150/'(2) Presupuesto de la Conexión'!F147</f>
        <v>1.12</v>
      </c>
      <c r="O150" s="629">
        <f>+G150/'(2) Presupuesto de la Conexión'!G147</f>
        <v>1.12</v>
      </c>
      <c r="P150" s="629">
        <f>+H150/'(2) Presupuesto de la Conexión'!H147</f>
        <v>1.12</v>
      </c>
      <c r="T150" s="629">
        <v>6084</v>
      </c>
      <c r="U150" s="629">
        <v>5412</v>
      </c>
      <c r="V150" s="629">
        <v>6075</v>
      </c>
      <c r="X150" s="629">
        <f t="shared" si="5"/>
        <v>1</v>
      </c>
      <c r="Y150" s="629">
        <f t="shared" si="5"/>
        <v>1</v>
      </c>
      <c r="Z150" s="629">
        <f t="shared" si="5"/>
        <v>1</v>
      </c>
    </row>
    <row r="151" spans="2:26" ht="12.75">
      <c r="B151" s="706" t="s">
        <v>110</v>
      </c>
      <c r="C151" s="707" t="s">
        <v>2</v>
      </c>
      <c r="D151" s="701" t="s">
        <v>72</v>
      </c>
      <c r="E151" s="694" t="s">
        <v>111</v>
      </c>
      <c r="F151" s="847">
        <f>+'(2) Presupuesto de la Conexión'!F148*1.12</f>
        <v>8376.740064</v>
      </c>
      <c r="G151" s="847">
        <f>+'(2) Presupuesto de la Conexión'!G148*1.12</f>
        <v>8066.490432</v>
      </c>
      <c r="H151" s="847">
        <f>+'(2) Presupuesto de la Conexión'!H148*1.12</f>
        <v>8344.082208</v>
      </c>
      <c r="I151" s="630"/>
      <c r="J151" s="630"/>
      <c r="K151" s="630"/>
      <c r="L151" s="630"/>
      <c r="N151" s="629">
        <f>+F151/'(2) Presupuesto de la Conexión'!F148</f>
        <v>1.12</v>
      </c>
      <c r="O151" s="629">
        <f>+G151/'(2) Presupuesto de la Conexión'!G148</f>
        <v>1.12</v>
      </c>
      <c r="P151" s="629">
        <f>+H151/'(2) Presupuesto de la Conexión'!H148</f>
        <v>1.12</v>
      </c>
      <c r="T151" s="629">
        <v>4626</v>
      </c>
      <c r="U151" s="629">
        <v>4536</v>
      </c>
      <c r="V151" s="629">
        <v>4692</v>
      </c>
      <c r="X151" s="629">
        <f t="shared" si="5"/>
        <v>1</v>
      </c>
      <c r="Y151" s="629">
        <f t="shared" si="5"/>
        <v>1</v>
      </c>
      <c r="Z151" s="629">
        <f t="shared" si="5"/>
        <v>1</v>
      </c>
    </row>
    <row r="152" spans="2:26" ht="12.75">
      <c r="B152" s="708"/>
      <c r="C152" s="707"/>
      <c r="D152" s="697" t="s">
        <v>176</v>
      </c>
      <c r="E152" s="694" t="s">
        <v>111</v>
      </c>
      <c r="F152" s="847">
        <f>+'(2) Presupuesto de la Conexión'!F149*1.12</f>
        <v>8376.740064</v>
      </c>
      <c r="G152" s="847">
        <f>+'(2) Presupuesto de la Conexión'!G149*1.12</f>
        <v>8066.490432</v>
      </c>
      <c r="H152" s="847">
        <f>+'(2) Presupuesto de la Conexión'!H149*1.12</f>
        <v>8344.082208</v>
      </c>
      <c r="I152" s="630"/>
      <c r="J152" s="630"/>
      <c r="K152" s="630"/>
      <c r="L152" s="630"/>
      <c r="N152" s="629">
        <f>+F152/'(2) Presupuesto de la Conexión'!F149</f>
        <v>1.12</v>
      </c>
      <c r="O152" s="629">
        <f>+G152/'(2) Presupuesto de la Conexión'!G149</f>
        <v>1.12</v>
      </c>
      <c r="P152" s="629">
        <f>+H152/'(2) Presupuesto de la Conexión'!H149</f>
        <v>1.12</v>
      </c>
      <c r="T152" s="629">
        <v>4626</v>
      </c>
      <c r="U152" s="629">
        <v>4536</v>
      </c>
      <c r="V152" s="629">
        <v>4692</v>
      </c>
      <c r="X152" s="629">
        <f t="shared" si="5"/>
        <v>1</v>
      </c>
      <c r="Y152" s="629">
        <f t="shared" si="5"/>
        <v>1</v>
      </c>
      <c r="Z152" s="629">
        <f t="shared" si="5"/>
        <v>1</v>
      </c>
    </row>
    <row r="153" spans="2:26" ht="12.75">
      <c r="B153" s="695" t="s">
        <v>112</v>
      </c>
      <c r="C153" s="699" t="s">
        <v>1</v>
      </c>
      <c r="D153" s="701" t="s">
        <v>39</v>
      </c>
      <c r="E153" s="694" t="s">
        <v>182</v>
      </c>
      <c r="F153" s="847">
        <f>+'(2) Presupuesto de la Conexión'!F150*1.12</f>
        <v>2011.42704</v>
      </c>
      <c r="G153" s="847">
        <f>+'(2) Presupuesto de la Conexión'!G150*1.12</f>
        <v>1883.764512</v>
      </c>
      <c r="H153" s="847">
        <f>+'(2) Presupuesto de la Conexión'!H150*1.12</f>
        <v>2118.307296</v>
      </c>
      <c r="I153" s="630"/>
      <c r="J153" s="630"/>
      <c r="K153" s="630"/>
      <c r="L153" s="630"/>
      <c r="N153" s="629">
        <f>+F153/'(2) Presupuesto de la Conexión'!F150</f>
        <v>1.12</v>
      </c>
      <c r="O153" s="629">
        <f>+G153/'(2) Presupuesto de la Conexión'!G150</f>
        <v>1.12</v>
      </c>
      <c r="P153" s="629">
        <f>+H153/'(2) Presupuesto de la Conexión'!H150</f>
        <v>1.12</v>
      </c>
      <c r="T153" s="629">
        <v>1201</v>
      </c>
      <c r="U153" s="629">
        <v>1201</v>
      </c>
      <c r="V153" s="629">
        <v>1448</v>
      </c>
      <c r="X153" s="629">
        <f t="shared" si="5"/>
        <v>1</v>
      </c>
      <c r="Y153" s="629">
        <f t="shared" si="5"/>
        <v>1</v>
      </c>
      <c r="Z153" s="629">
        <f t="shared" si="5"/>
        <v>1</v>
      </c>
    </row>
    <row r="154" spans="2:26" ht="12.75">
      <c r="B154" s="695" t="s">
        <v>113</v>
      </c>
      <c r="C154" s="696"/>
      <c r="D154" s="697" t="s">
        <v>42</v>
      </c>
      <c r="E154" s="694" t="s">
        <v>182</v>
      </c>
      <c r="F154" s="847">
        <f>+'(2) Presupuesto de la Conexión'!F151*1.12</f>
        <v>2017.3648320000002</v>
      </c>
      <c r="G154" s="847">
        <f>+'(2) Presupuesto de la Conexión'!G151*1.12</f>
        <v>1877.82672</v>
      </c>
      <c r="H154" s="847">
        <f>+'(2) Presupuesto de la Conexión'!H151*1.12</f>
        <v>2119.791744</v>
      </c>
      <c r="I154" s="630"/>
      <c r="J154" s="630"/>
      <c r="K154" s="630"/>
      <c r="L154" s="630"/>
      <c r="N154" s="629">
        <f>+F154/'(2) Presupuesto de la Conexión'!F151</f>
        <v>1.12</v>
      </c>
      <c r="O154" s="629">
        <f>+G154/'(2) Presupuesto de la Conexión'!G151</f>
        <v>1.12</v>
      </c>
      <c r="P154" s="629">
        <f>+H154/'(2) Presupuesto de la Conexión'!H151</f>
        <v>1.12</v>
      </c>
      <c r="T154" s="629">
        <v>1208</v>
      </c>
      <c r="U154" s="629">
        <v>1211</v>
      </c>
      <c r="V154" s="629">
        <v>1447</v>
      </c>
      <c r="X154" s="629">
        <f t="shared" si="5"/>
        <v>1</v>
      </c>
      <c r="Y154" s="629">
        <f t="shared" si="5"/>
        <v>1</v>
      </c>
      <c r="Z154" s="629">
        <f t="shared" si="5"/>
        <v>1</v>
      </c>
    </row>
    <row r="155" spans="2:26" ht="12.75">
      <c r="B155" s="695"/>
      <c r="C155" s="696"/>
      <c r="D155" s="697" t="s">
        <v>44</v>
      </c>
      <c r="E155" s="694" t="s">
        <v>182</v>
      </c>
      <c r="F155" s="847">
        <f>+'(2) Presupuesto de la Conexión'!F152*1.12</f>
        <v>2042.6004480000001</v>
      </c>
      <c r="G155" s="847">
        <f>+'(2) Presupuesto de la Conexión'!G152*1.12</f>
        <v>1900.09344</v>
      </c>
      <c r="H155" s="847">
        <f>+'(2) Presupuesto de la Conexión'!H152*1.12</f>
        <v>2119.791744</v>
      </c>
      <c r="I155" s="630"/>
      <c r="J155" s="630"/>
      <c r="K155" s="630"/>
      <c r="L155" s="630"/>
      <c r="N155" s="629">
        <f>+F155/'(2) Presupuesto de la Conexión'!F152</f>
        <v>1.12</v>
      </c>
      <c r="O155" s="629">
        <f>+G155/'(2) Presupuesto de la Conexión'!G152</f>
        <v>1.12</v>
      </c>
      <c r="P155" s="629">
        <f>+H155/'(2) Presupuesto de la Conexión'!H152</f>
        <v>1.12</v>
      </c>
      <c r="T155" s="629">
        <v>1213</v>
      </c>
      <c r="U155" s="629">
        <v>1230</v>
      </c>
      <c r="V155" s="629">
        <v>1447</v>
      </c>
      <c r="X155" s="629">
        <f t="shared" si="5"/>
        <v>1</v>
      </c>
      <c r="Y155" s="629">
        <f t="shared" si="5"/>
        <v>1</v>
      </c>
      <c r="Z155" s="629">
        <f t="shared" si="5"/>
        <v>1</v>
      </c>
    </row>
    <row r="156" spans="2:26" ht="12.75">
      <c r="B156" s="695"/>
      <c r="C156" s="696"/>
      <c r="D156" s="697" t="s">
        <v>46</v>
      </c>
      <c r="E156" s="694" t="s">
        <v>182</v>
      </c>
      <c r="F156" s="847">
        <f>+'(2) Presupuesto de la Conexión'!F153*1.12</f>
        <v>2087.133888</v>
      </c>
      <c r="G156" s="847">
        <f>+'(2) Presupuesto de la Conexión'!G153*1.12</f>
        <v>1919.391264</v>
      </c>
      <c r="H156" s="847">
        <f>+'(2) Presupuesto de la Conexión'!H153*1.12</f>
        <v>2124.245088</v>
      </c>
      <c r="I156" s="630"/>
      <c r="J156" s="630"/>
      <c r="K156" s="630"/>
      <c r="L156" s="630"/>
      <c r="N156" s="629">
        <f>+F156/'(2) Presupuesto de la Conexión'!F153</f>
        <v>1.12</v>
      </c>
      <c r="O156" s="629">
        <f>+G156/'(2) Presupuesto de la Conexión'!G153</f>
        <v>1.12</v>
      </c>
      <c r="P156" s="629">
        <f>+H156/'(2) Presupuesto de la Conexión'!H153</f>
        <v>1.12</v>
      </c>
      <c r="T156" s="629">
        <v>1242</v>
      </c>
      <c r="U156" s="629">
        <v>1259</v>
      </c>
      <c r="V156" s="629">
        <v>1457</v>
      </c>
      <c r="X156" s="629">
        <f t="shared" si="5"/>
        <v>1</v>
      </c>
      <c r="Y156" s="629">
        <f t="shared" si="5"/>
        <v>1</v>
      </c>
      <c r="Z156" s="629">
        <f t="shared" si="5"/>
        <v>1</v>
      </c>
    </row>
    <row r="157" spans="2:26" ht="12.75">
      <c r="B157" s="695"/>
      <c r="C157" s="696"/>
      <c r="D157" s="697" t="s">
        <v>176</v>
      </c>
      <c r="E157" s="694" t="s">
        <v>182</v>
      </c>
      <c r="F157" s="847">
        <f>+'(2) Presupuesto de la Conexión'!F154*1.12</f>
        <v>8716.678656</v>
      </c>
      <c r="G157" s="847">
        <f>+'(2) Presupuesto de la Conexión'!G154*1.12</f>
        <v>7766.631936000001</v>
      </c>
      <c r="H157" s="847">
        <f>+'(2) Presupuesto de la Conexión'!H154*1.12</f>
        <v>8341.113312000001</v>
      </c>
      <c r="I157" s="630"/>
      <c r="J157" s="630"/>
      <c r="K157" s="630"/>
      <c r="L157" s="630"/>
      <c r="N157" s="629">
        <f>+F157/'(2) Presupuesto de la Conexión'!F154</f>
        <v>1.12</v>
      </c>
      <c r="O157" s="629">
        <f>+G157/'(2) Presupuesto de la Conexión'!G154</f>
        <v>1.12</v>
      </c>
      <c r="P157" s="629">
        <f>+H157/'(2) Presupuesto de la Conexión'!H154</f>
        <v>1.12</v>
      </c>
      <c r="T157" s="629">
        <v>4877</v>
      </c>
      <c r="U157" s="629">
        <v>4385</v>
      </c>
      <c r="V157" s="629">
        <v>4682</v>
      </c>
      <c r="X157" s="629">
        <f t="shared" si="5"/>
        <v>1</v>
      </c>
      <c r="Y157" s="629">
        <f t="shared" si="5"/>
        <v>1</v>
      </c>
      <c r="Z157" s="629">
        <f t="shared" si="5"/>
        <v>1</v>
      </c>
    </row>
    <row r="158" spans="2:26" ht="12.75">
      <c r="B158" s="703"/>
      <c r="C158" s="704" t="s">
        <v>2</v>
      </c>
      <c r="D158" s="701" t="s">
        <v>72</v>
      </c>
      <c r="E158" s="694" t="s">
        <v>183</v>
      </c>
      <c r="F158" s="847">
        <f>+'(2) Presupuesto de la Conexión'!F155*1.12</f>
        <v>22919.87712</v>
      </c>
      <c r="G158" s="847">
        <f>+'(2) Presupuesto de la Conexión'!G155*1.12</f>
        <v>24002.039712</v>
      </c>
      <c r="H158" s="847">
        <f>+'(2) Presupuesto de la Conexión'!H155*1.12</f>
        <v>30775.575936</v>
      </c>
      <c r="I158" s="630"/>
      <c r="J158" s="630"/>
      <c r="K158" s="630"/>
      <c r="L158" s="630"/>
      <c r="N158" s="629">
        <f>+F158/'(2) Presupuesto de la Conexión'!F155</f>
        <v>1.12</v>
      </c>
      <c r="O158" s="629">
        <f>+G158/'(2) Presupuesto de la Conexión'!G155</f>
        <v>1.12</v>
      </c>
      <c r="P158" s="629">
        <f>+H158/'(2) Presupuesto de la Conexión'!H155</f>
        <v>1.12</v>
      </c>
      <c r="T158" s="629">
        <v>13706</v>
      </c>
      <c r="U158" s="629">
        <v>14291</v>
      </c>
      <c r="V158" s="629">
        <v>18430</v>
      </c>
      <c r="X158" s="629">
        <f t="shared" si="5"/>
        <v>1</v>
      </c>
      <c r="Y158" s="629">
        <f t="shared" si="5"/>
        <v>1</v>
      </c>
      <c r="Z158" s="629">
        <f t="shared" si="5"/>
        <v>1</v>
      </c>
    </row>
    <row r="159" spans="2:26" ht="12.75">
      <c r="B159" s="703"/>
      <c r="C159" s="705"/>
      <c r="D159" s="701" t="s">
        <v>176</v>
      </c>
      <c r="E159" s="694" t="s">
        <v>183</v>
      </c>
      <c r="F159" s="847">
        <f>+'(2) Presupuesto de la Conexión'!F156*1.12</f>
        <v>36771.261408</v>
      </c>
      <c r="G159" s="847">
        <f>+'(2) Presupuesto de la Conexión'!G156*1.12</f>
        <v>37976.633184000006</v>
      </c>
      <c r="H159" s="847">
        <f>+'(2) Presupuesto de la Conexión'!H156*1.12</f>
        <v>30613.771104</v>
      </c>
      <c r="I159" s="630"/>
      <c r="J159" s="630"/>
      <c r="K159" s="630"/>
      <c r="L159" s="630"/>
      <c r="N159" s="629">
        <f>+F159/'(2) Presupuesto de la Conexión'!F156</f>
        <v>1.12</v>
      </c>
      <c r="O159" s="629">
        <f>+G159/'(2) Presupuesto de la Conexión'!G156</f>
        <v>1.12</v>
      </c>
      <c r="P159" s="629">
        <f>+H159/'(2) Presupuesto de la Conexión'!H156</f>
        <v>1.12</v>
      </c>
      <c r="T159" s="629">
        <v>21411</v>
      </c>
      <c r="U159" s="629">
        <v>22080</v>
      </c>
      <c r="V159" s="629">
        <v>18323</v>
      </c>
      <c r="X159" s="629">
        <f t="shared" si="5"/>
        <v>1</v>
      </c>
      <c r="Y159" s="629">
        <f t="shared" si="5"/>
        <v>1</v>
      </c>
      <c r="Z159" s="629">
        <f t="shared" si="5"/>
        <v>1</v>
      </c>
    </row>
    <row r="160" spans="2:26" ht="12.75">
      <c r="B160" s="709" t="s">
        <v>114</v>
      </c>
      <c r="C160" s="710" t="s">
        <v>1</v>
      </c>
      <c r="D160" s="711"/>
      <c r="E160" s="694" t="s">
        <v>115</v>
      </c>
      <c r="F160" s="847">
        <f>+'(2) Presupuesto de la Conexión'!F157*1.12</f>
        <v>1214.278464</v>
      </c>
      <c r="G160" s="847">
        <f>+'(2) Presupuesto de la Conexión'!G157*1.12</f>
        <v>1292.954208</v>
      </c>
      <c r="H160" s="847">
        <f>+'(2) Presupuesto de la Conexión'!H157*1.12</f>
        <v>1632.8927999999999</v>
      </c>
      <c r="I160" s="630"/>
      <c r="J160" s="630"/>
      <c r="K160" s="630"/>
      <c r="L160" s="630"/>
      <c r="N160" s="629">
        <f>+F160/'(2) Presupuesto de la Conexión'!F157</f>
        <v>1.12</v>
      </c>
      <c r="O160" s="629">
        <f>+G160/'(2) Presupuesto de la Conexión'!G157</f>
        <v>1.12</v>
      </c>
      <c r="P160" s="629">
        <f>+H160/'(2) Presupuesto de la Conexión'!H157</f>
        <v>1.12</v>
      </c>
      <c r="T160" s="629">
        <v>919</v>
      </c>
      <c r="U160" s="629">
        <v>997</v>
      </c>
      <c r="V160" s="629">
        <v>1121</v>
      </c>
      <c r="X160" s="629">
        <f t="shared" si="5"/>
        <v>1</v>
      </c>
      <c r="Y160" s="629">
        <f t="shared" si="5"/>
        <v>1</v>
      </c>
      <c r="Z160" s="629">
        <f t="shared" si="5"/>
        <v>1</v>
      </c>
    </row>
    <row r="161" spans="2:26" ht="12.75">
      <c r="B161" s="712"/>
      <c r="C161" s="710" t="s">
        <v>2</v>
      </c>
      <c r="D161" s="711"/>
      <c r="E161" s="694" t="s">
        <v>116</v>
      </c>
      <c r="F161" s="847">
        <f>+'(2) Presupuesto de la Conexión'!F158*1.12</f>
        <v>1931.2668480000002</v>
      </c>
      <c r="G161" s="847">
        <f>+'(2) Presupuesto de la Conexión'!G158*1.12</f>
        <v>2338.0056</v>
      </c>
      <c r="H161" s="847">
        <f>+'(2) Presupuesto de la Conexión'!H158*1.12</f>
        <v>2639.348544</v>
      </c>
      <c r="I161" s="630"/>
      <c r="J161" s="630"/>
      <c r="K161" s="630"/>
      <c r="L161" s="630"/>
      <c r="N161" s="629">
        <f>+F161/'(2) Presupuesto de la Conexión'!F158</f>
        <v>1.12</v>
      </c>
      <c r="O161" s="629">
        <f>+G161/'(2) Presupuesto de la Conexión'!G158</f>
        <v>1.12</v>
      </c>
      <c r="P161" s="629">
        <f>+H161/'(2) Presupuesto de la Conexión'!H158</f>
        <v>1.12</v>
      </c>
      <c r="T161" s="629">
        <v>1615</v>
      </c>
      <c r="U161" s="629">
        <v>1974</v>
      </c>
      <c r="V161" s="629">
        <v>2241</v>
      </c>
      <c r="X161" s="629">
        <f t="shared" si="5"/>
        <v>1</v>
      </c>
      <c r="Y161" s="629">
        <f t="shared" si="5"/>
        <v>1</v>
      </c>
      <c r="Z161" s="629">
        <f t="shared" si="5"/>
        <v>1</v>
      </c>
    </row>
    <row r="162" spans="2:26" ht="12.75">
      <c r="B162" s="709" t="s">
        <v>117</v>
      </c>
      <c r="C162" s="710" t="s">
        <v>118</v>
      </c>
      <c r="D162" s="711"/>
      <c r="E162" s="694" t="s">
        <v>119</v>
      </c>
      <c r="F162" s="847">
        <f>+'(2) Presupuesto de la Conexión'!F159*1.12</f>
        <v>78.67574400000001</v>
      </c>
      <c r="G162" s="847">
        <f>+'(2) Presupuesto de la Conexión'!G159*1.12</f>
        <v>78.67574400000001</v>
      </c>
      <c r="H162" s="847">
        <f>+'(2) Presupuesto de la Conexión'!H159*1.12</f>
        <v>78.67574400000001</v>
      </c>
      <c r="I162" s="630"/>
      <c r="J162" s="630"/>
      <c r="K162" s="630"/>
      <c r="L162" s="630"/>
      <c r="N162" s="629">
        <f>+F162/'(2) Presupuesto de la Conexión'!F159</f>
        <v>1.12</v>
      </c>
      <c r="O162" s="629">
        <f>+G162/'(2) Presupuesto de la Conexión'!G159</f>
        <v>1.12</v>
      </c>
      <c r="P162" s="629">
        <f>+H162/'(2) Presupuesto de la Conexión'!H159</f>
        <v>1.12</v>
      </c>
      <c r="T162" s="629">
        <v>37</v>
      </c>
      <c r="U162" s="629">
        <v>37</v>
      </c>
      <c r="V162" s="629">
        <v>37</v>
      </c>
      <c r="X162" s="629">
        <f t="shared" si="5"/>
        <v>1</v>
      </c>
      <c r="Y162" s="629">
        <f t="shared" si="5"/>
        <v>1</v>
      </c>
      <c r="Z162" s="629">
        <f t="shared" si="5"/>
        <v>1</v>
      </c>
    </row>
    <row r="163" spans="2:26" ht="15">
      <c r="B163" s="709" t="s">
        <v>405</v>
      </c>
      <c r="C163" s="710" t="s">
        <v>118</v>
      </c>
      <c r="D163" s="711"/>
      <c r="E163" s="694" t="s">
        <v>119</v>
      </c>
      <c r="F163" s="847">
        <f>+'(2) Presupuesto de la Conexión'!F160*1.12</f>
        <v>191.493792</v>
      </c>
      <c r="G163" s="847">
        <f>+'(2) Presupuesto de la Conexión'!G160*1.12</f>
        <v>191.493792</v>
      </c>
      <c r="H163" s="847">
        <f>+'(2) Presupuesto de la Conexión'!H160*1.12</f>
        <v>191.493792</v>
      </c>
      <c r="I163" s="630"/>
      <c r="J163" s="630"/>
      <c r="K163" s="630"/>
      <c r="L163" s="630"/>
      <c r="N163" s="629">
        <f>+F163/'(2) Presupuesto de la Conexión'!F160</f>
        <v>1.12</v>
      </c>
      <c r="O163" s="629">
        <f>+G163/'(2) Presupuesto de la Conexión'!G160</f>
        <v>1.12</v>
      </c>
      <c r="P163" s="629">
        <f>+H163/'(2) Presupuesto de la Conexión'!H160</f>
        <v>1.12</v>
      </c>
      <c r="T163" s="629">
        <v>104</v>
      </c>
      <c r="U163" s="629">
        <v>104</v>
      </c>
      <c r="V163" s="629">
        <v>104</v>
      </c>
      <c r="X163" s="629">
        <f t="shared" si="5"/>
        <v>1</v>
      </c>
      <c r="Y163" s="629">
        <f t="shared" si="5"/>
        <v>1</v>
      </c>
      <c r="Z163" s="629">
        <f t="shared" si="5"/>
        <v>1</v>
      </c>
    </row>
    <row r="164" spans="2:26" ht="12.75">
      <c r="B164" s="713" t="s">
        <v>95</v>
      </c>
      <c r="C164" s="710" t="s">
        <v>1</v>
      </c>
      <c r="D164" s="711"/>
      <c r="E164" s="694" t="s">
        <v>120</v>
      </c>
      <c r="F164" s="847">
        <f>+'(2) Presupuesto de la Conexión'!F161*1.12</f>
        <v>409.707648</v>
      </c>
      <c r="G164" s="847">
        <f>+'(2) Presupuesto de la Conexión'!G161*1.12</f>
        <v>409.707648</v>
      </c>
      <c r="H164" s="847">
        <f>+'(2) Presupuesto de la Conexión'!H161*1.12</f>
        <v>409.707648</v>
      </c>
      <c r="I164" s="630"/>
      <c r="J164" s="630"/>
      <c r="K164" s="630"/>
      <c r="L164" s="630"/>
      <c r="N164" s="629">
        <f>+F164/'(2) Presupuesto de la Conexión'!F161</f>
        <v>1.12</v>
      </c>
      <c r="O164" s="629">
        <f>+G164/'(2) Presupuesto de la Conexión'!G161</f>
        <v>1.12</v>
      </c>
      <c r="P164" s="629">
        <f>+H164/'(2) Presupuesto de la Conexión'!H161</f>
        <v>1.12</v>
      </c>
      <c r="T164" s="629">
        <v>247</v>
      </c>
      <c r="U164" s="629">
        <v>247</v>
      </c>
      <c r="V164" s="629">
        <v>247</v>
      </c>
      <c r="X164" s="629">
        <f t="shared" si="5"/>
        <v>1</v>
      </c>
      <c r="Y164" s="629">
        <f t="shared" si="5"/>
        <v>1</v>
      </c>
      <c r="Z164" s="629">
        <f t="shared" si="5"/>
        <v>1</v>
      </c>
    </row>
    <row r="165" spans="2:26" ht="12.75">
      <c r="B165" s="709" t="s">
        <v>121</v>
      </c>
      <c r="C165" s="714" t="s">
        <v>1</v>
      </c>
      <c r="D165" s="715"/>
      <c r="E165" s="716" t="s">
        <v>122</v>
      </c>
      <c r="F165" s="847">
        <f>+'(2) Presupuesto de la Conexión'!F162*1.12</f>
        <v>697.69056</v>
      </c>
      <c r="G165" s="847">
        <f>+'(2) Presupuesto de la Conexión'!G162*1.12</f>
        <v>697.69056</v>
      </c>
      <c r="H165" s="847">
        <f>+'(2) Presupuesto de la Conexión'!H162*1.12</f>
        <v>697.69056</v>
      </c>
      <c r="I165" s="630"/>
      <c r="J165" s="630"/>
      <c r="K165" s="630"/>
      <c r="L165" s="630"/>
      <c r="N165" s="629">
        <f>+F165/'(2) Presupuesto de la Conexión'!F162</f>
        <v>1.12</v>
      </c>
      <c r="O165" s="629">
        <f>+G165/'(2) Presupuesto de la Conexión'!G162</f>
        <v>1.12</v>
      </c>
      <c r="P165" s="629">
        <f>+H165/'(2) Presupuesto de la Conexión'!H162</f>
        <v>1.12</v>
      </c>
      <c r="T165" s="629">
        <v>388</v>
      </c>
      <c r="U165" s="629">
        <v>388</v>
      </c>
      <c r="V165" s="629">
        <v>388</v>
      </c>
      <c r="X165" s="629">
        <f t="shared" si="5"/>
        <v>1</v>
      </c>
      <c r="Y165" s="629">
        <f t="shared" si="5"/>
        <v>1</v>
      </c>
      <c r="Z165" s="629">
        <f t="shared" si="5"/>
        <v>1</v>
      </c>
    </row>
    <row r="166" spans="2:28" ht="12.75">
      <c r="B166" s="717"/>
      <c r="C166" s="718"/>
      <c r="D166" s="719"/>
      <c r="E166" s="716" t="s">
        <v>123</v>
      </c>
      <c r="F166" s="847">
        <f>+'(2) Presupuesto de la Conexión'!F163*1.12</f>
        <v>227.120544</v>
      </c>
      <c r="G166" s="847">
        <f>+'(2) Presupuesto de la Conexión'!G163*1.12</f>
        <v>227.120544</v>
      </c>
      <c r="H166" s="847">
        <f>+'(2) Presupuesto de la Conexión'!H163*1.12</f>
        <v>227.120544</v>
      </c>
      <c r="I166" s="630"/>
      <c r="J166" s="630"/>
      <c r="K166" s="630"/>
      <c r="L166" s="630"/>
      <c r="N166" s="629">
        <f>+F166/'(2) Presupuesto de la Conexión'!F163</f>
        <v>1.12</v>
      </c>
      <c r="O166" s="629">
        <f>+G166/'(2) Presupuesto de la Conexión'!G163</f>
        <v>1.12</v>
      </c>
      <c r="P166" s="629">
        <f>+H166/'(2) Presupuesto de la Conexión'!H163</f>
        <v>1.12</v>
      </c>
      <c r="T166" s="629">
        <v>128</v>
      </c>
      <c r="U166" s="629">
        <v>128</v>
      </c>
      <c r="V166" s="629">
        <v>128</v>
      </c>
      <c r="X166" s="629">
        <f t="shared" si="5"/>
        <v>1</v>
      </c>
      <c r="Y166" s="629">
        <f t="shared" si="5"/>
        <v>1</v>
      </c>
      <c r="Z166" s="629">
        <f t="shared" si="5"/>
        <v>1</v>
      </c>
      <c r="AA166" s="629">
        <f>+SUM(X137:Z166)</f>
        <v>90</v>
      </c>
      <c r="AB166" s="629" t="b">
        <f>+IF(AA166=0,"ok")</f>
        <v>0</v>
      </c>
    </row>
    <row r="167" spans="2:12" ht="12.75">
      <c r="B167" s="630"/>
      <c r="C167" s="630"/>
      <c r="D167" s="630"/>
      <c r="E167" s="630"/>
      <c r="F167" s="630"/>
      <c r="G167" s="630"/>
      <c r="H167" s="630"/>
      <c r="I167" s="630"/>
      <c r="J167" s="630"/>
      <c r="K167" s="630"/>
      <c r="L167" s="630"/>
    </row>
    <row r="168" spans="2:12" ht="12.75">
      <c r="B168" s="630"/>
      <c r="C168" s="630"/>
      <c r="D168" s="630"/>
      <c r="E168" s="630"/>
      <c r="F168" s="630"/>
      <c r="G168" s="630"/>
      <c r="H168" s="630"/>
      <c r="I168" s="630"/>
      <c r="J168" s="630"/>
      <c r="K168" s="630"/>
      <c r="L168" s="630"/>
    </row>
    <row r="169" spans="2:12" ht="15.75">
      <c r="B169" s="632" t="s">
        <v>457</v>
      </c>
      <c r="C169" s="720"/>
      <c r="D169" s="720"/>
      <c r="E169" s="630"/>
      <c r="F169" s="630"/>
      <c r="G169" s="630"/>
      <c r="H169" s="630"/>
      <c r="I169" s="630"/>
      <c r="J169" s="630"/>
      <c r="K169" s="630"/>
      <c r="L169" s="630"/>
    </row>
    <row r="170" spans="2:12" ht="12.75">
      <c r="B170" s="720"/>
      <c r="C170" s="720"/>
      <c r="D170" s="720"/>
      <c r="E170" s="630"/>
      <c r="F170" s="630"/>
      <c r="G170" s="630"/>
      <c r="H170" s="630"/>
      <c r="I170" s="630"/>
      <c r="J170" s="630"/>
      <c r="K170" s="630"/>
      <c r="L170" s="630"/>
    </row>
    <row r="171" spans="2:12" ht="12.75">
      <c r="B171" s="721" t="s">
        <v>50</v>
      </c>
      <c r="C171" s="721" t="s">
        <v>92</v>
      </c>
      <c r="D171" s="690" t="s">
        <v>93</v>
      </c>
      <c r="E171" s="630"/>
      <c r="F171" s="630"/>
      <c r="G171" s="630"/>
      <c r="H171" s="630"/>
      <c r="I171" s="630"/>
      <c r="J171" s="630"/>
      <c r="K171" s="630"/>
      <c r="L171" s="630"/>
    </row>
    <row r="172" spans="2:22" ht="15">
      <c r="B172" s="722" t="s">
        <v>94</v>
      </c>
      <c r="C172" s="688" t="s">
        <v>406</v>
      </c>
      <c r="D172" s="844">
        <f>+'(2) Presupuesto de la Conexión'!D169*1.12</f>
        <v>159.28080000000003</v>
      </c>
      <c r="E172" s="630"/>
      <c r="F172" s="630"/>
      <c r="G172" s="630"/>
      <c r="H172" s="630"/>
      <c r="I172" s="630"/>
      <c r="J172" s="630"/>
      <c r="K172" s="630"/>
      <c r="L172" s="630"/>
      <c r="N172" s="629">
        <f>+D172/'(2) Presupuesto de la Conexión'!D169</f>
        <v>1.12</v>
      </c>
      <c r="T172" s="629">
        <v>104</v>
      </c>
      <c r="V172" s="629">
        <f>+IF(T172=D172,0,1)</f>
        <v>1</v>
      </c>
    </row>
    <row r="173" spans="2:22" ht="12.75">
      <c r="B173" s="723" t="s">
        <v>294</v>
      </c>
      <c r="C173" s="724" t="s">
        <v>92</v>
      </c>
      <c r="D173" s="844">
        <f>+'(2) Presupuesto de la Conexión'!D170*1.12</f>
        <v>222.15480000000005</v>
      </c>
      <c r="E173" s="630"/>
      <c r="F173" s="630"/>
      <c r="G173" s="630"/>
      <c r="H173" s="630"/>
      <c r="I173" s="630"/>
      <c r="J173" s="630"/>
      <c r="K173" s="630"/>
      <c r="L173" s="630"/>
      <c r="N173" s="629">
        <f>+D173/'(2) Presupuesto de la Conexión'!D170</f>
        <v>1.12</v>
      </c>
      <c r="T173" s="629">
        <v>168</v>
      </c>
      <c r="V173" s="629">
        <f>+IF(T173=D173,0,1)</f>
        <v>1</v>
      </c>
    </row>
    <row r="174" spans="2:22" ht="12.75">
      <c r="B174" s="723" t="s">
        <v>295</v>
      </c>
      <c r="C174" s="724" t="s">
        <v>92</v>
      </c>
      <c r="D174" s="844">
        <f>+'(2) Presupuesto de la Conexión'!D171*1.12</f>
        <v>245.90720000000002</v>
      </c>
      <c r="E174" s="630"/>
      <c r="F174" s="630"/>
      <c r="G174" s="630"/>
      <c r="H174" s="630"/>
      <c r="I174" s="630"/>
      <c r="J174" s="630"/>
      <c r="K174" s="630"/>
      <c r="L174" s="630"/>
      <c r="N174" s="629">
        <f>+D174/'(2) Presupuesto de la Conexión'!D171</f>
        <v>1.12</v>
      </c>
      <c r="T174" s="629">
        <v>205</v>
      </c>
      <c r="V174" s="629">
        <f>+IF(T174=D174,0,1)</f>
        <v>1</v>
      </c>
    </row>
    <row r="175" spans="2:22" ht="12.75">
      <c r="B175" s="723" t="s">
        <v>96</v>
      </c>
      <c r="C175" s="724" t="s">
        <v>92</v>
      </c>
      <c r="D175" s="844">
        <f>+'(2) Presupuesto de la Conexión'!D172*1.12</f>
        <v>111.77600000000002</v>
      </c>
      <c r="E175" s="630"/>
      <c r="F175" s="630"/>
      <c r="G175" s="630"/>
      <c r="H175" s="630"/>
      <c r="I175" s="630"/>
      <c r="J175" s="630"/>
      <c r="K175" s="630"/>
      <c r="L175" s="630"/>
      <c r="N175" s="629">
        <f>+D175/'(2) Presupuesto de la Conexión'!D172</f>
        <v>1.12</v>
      </c>
      <c r="T175" s="629">
        <v>145</v>
      </c>
      <c r="V175" s="629">
        <f>+IF(T175=D175,0,1)</f>
        <v>1</v>
      </c>
    </row>
    <row r="176" spans="2:24" ht="12.75">
      <c r="B176" s="723" t="s">
        <v>97</v>
      </c>
      <c r="C176" s="724" t="s">
        <v>92</v>
      </c>
      <c r="D176" s="844">
        <f>+'(2) Presupuesto de la Conexión'!D173*1.12</f>
        <v>176.04720000000003</v>
      </c>
      <c r="E176" s="630"/>
      <c r="F176" s="630"/>
      <c r="G176" s="630"/>
      <c r="H176" s="630"/>
      <c r="I176" s="630"/>
      <c r="J176" s="630"/>
      <c r="K176" s="630"/>
      <c r="L176" s="630"/>
      <c r="N176" s="629">
        <f>+D176/'(2) Presupuesto de la Conexión'!D173</f>
        <v>1.12</v>
      </c>
      <c r="T176" s="629">
        <v>206</v>
      </c>
      <c r="V176" s="629">
        <f>+IF(T176=D176,0,1)</f>
        <v>1</v>
      </c>
      <c r="W176" s="665">
        <f>+SUM(V172:V176)</f>
        <v>5</v>
      </c>
      <c r="X176" s="629" t="b">
        <f>+IF(W176=0,"ok")</f>
        <v>0</v>
      </c>
    </row>
    <row r="177" spans="2:12" ht="12.75">
      <c r="B177" s="630"/>
      <c r="C177" s="630"/>
      <c r="D177" s="630"/>
      <c r="E177" s="630"/>
      <c r="F177" s="630"/>
      <c r="G177" s="630"/>
      <c r="H177" s="630"/>
      <c r="I177" s="630"/>
      <c r="J177" s="630"/>
      <c r="K177" s="630"/>
      <c r="L177" s="630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 alignWithMargins="0"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3"/>
  <sheetViews>
    <sheetView zoomScale="80" zoomScaleNormal="80" zoomScalePageLayoutView="0" workbookViewId="0" topLeftCell="A1">
      <selection activeCell="G21" sqref="G21"/>
    </sheetView>
  </sheetViews>
  <sheetFormatPr defaultColWidth="11.421875" defaultRowHeight="12.75"/>
  <cols>
    <col min="1" max="1" width="11.421875" style="441" customWidth="1"/>
    <col min="2" max="2" width="11.00390625" style="441" customWidth="1"/>
    <col min="3" max="4" width="8.140625" style="441" customWidth="1"/>
    <col min="5" max="5" width="23.57421875" style="441" customWidth="1"/>
    <col min="6" max="6" width="24.00390625" style="441" customWidth="1"/>
    <col min="7" max="7" width="11.8515625" style="441" customWidth="1"/>
    <col min="8" max="8" width="12.8515625" style="441" customWidth="1"/>
    <col min="9" max="12" width="11.00390625" style="441" customWidth="1"/>
    <col min="13" max="13" width="11.421875" style="441" customWidth="1"/>
    <col min="14" max="28" width="0" style="441" hidden="1" customWidth="1"/>
    <col min="29" max="245" width="11.421875" style="441" customWidth="1"/>
    <col min="246" max="246" width="8.8515625" style="441" customWidth="1"/>
    <col min="247" max="247" width="13.57421875" style="441" customWidth="1"/>
    <col min="248" max="248" width="6.7109375" style="441" customWidth="1"/>
    <col min="249" max="249" width="8.140625" style="441" customWidth="1"/>
    <col min="250" max="250" width="9.7109375" style="441" customWidth="1"/>
    <col min="251" max="16384" width="8.57421875" style="441" customWidth="1"/>
  </cols>
  <sheetData>
    <row r="2" spans="2:12" ht="21">
      <c r="B2" s="521" t="s">
        <v>407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pans="2:12" ht="18.75">
      <c r="B3" s="522" t="str">
        <f>+'(2) Presupuesto de la Conexión'!B3</f>
        <v>Resolución Osinergmin N° 137-2019-OS/CD modificado por Resolución Osinergmin N° 176-2019 OS/CD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</row>
    <row r="4" spans="2:12" ht="18.75">
      <c r="B4" s="522" t="str">
        <f>+Factores!A2</f>
        <v>Vigente a partir del 04/Nov/2022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</row>
    <row r="5" spans="2:12" ht="18.75">
      <c r="B5" s="522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2:12" ht="15.75">
      <c r="B6" s="632" t="s">
        <v>408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2:12" ht="15.75">
      <c r="B7" s="632"/>
      <c r="C7" s="630"/>
      <c r="D7" s="630"/>
      <c r="E7" s="630"/>
      <c r="F7" s="630"/>
      <c r="G7" s="630"/>
      <c r="H7" s="630"/>
      <c r="I7" s="630"/>
      <c r="J7" s="630"/>
      <c r="K7" s="630"/>
      <c r="L7" s="630"/>
    </row>
    <row r="8" spans="2:12" ht="15.75">
      <c r="B8" s="632"/>
      <c r="C8" s="630"/>
      <c r="D8" s="630"/>
      <c r="E8" s="630"/>
      <c r="F8" s="630"/>
      <c r="G8" s="630"/>
      <c r="H8" s="630"/>
      <c r="I8" s="630"/>
      <c r="J8" s="630"/>
      <c r="K8" s="630"/>
      <c r="L8" s="630"/>
    </row>
    <row r="9" spans="2:12" ht="15">
      <c r="B9" s="969" t="s">
        <v>247</v>
      </c>
      <c r="C9" s="970"/>
      <c r="D9" s="970"/>
      <c r="E9" s="731" t="s">
        <v>268</v>
      </c>
      <c r="F9" s="630"/>
      <c r="G9" s="630"/>
      <c r="H9" s="630"/>
      <c r="I9" s="630"/>
      <c r="J9" s="630"/>
      <c r="K9" s="630"/>
      <c r="L9" s="630"/>
    </row>
    <row r="10" spans="2:12" ht="15">
      <c r="B10" s="971"/>
      <c r="C10" s="972"/>
      <c r="D10" s="972"/>
      <c r="E10" s="732" t="s">
        <v>269</v>
      </c>
      <c r="F10" s="630"/>
      <c r="G10" s="630"/>
      <c r="H10" s="630"/>
      <c r="I10" s="630"/>
      <c r="J10" s="630"/>
      <c r="K10" s="630"/>
      <c r="L10" s="630"/>
    </row>
    <row r="11" spans="2:15" ht="15">
      <c r="B11" s="973" t="s">
        <v>248</v>
      </c>
      <c r="C11" s="973"/>
      <c r="D11" s="973"/>
      <c r="E11" s="857">
        <f>CRER!D5*Factores!$B$7</f>
        <v>0</v>
      </c>
      <c r="F11" s="630"/>
      <c r="G11" s="630"/>
      <c r="H11" s="630"/>
      <c r="I11" s="630"/>
      <c r="J11" s="630"/>
      <c r="K11" s="630"/>
      <c r="L11" s="630"/>
      <c r="N11" s="441">
        <v>0.02</v>
      </c>
      <c r="O11" s="441">
        <f aca="true" t="shared" si="0" ref="O11:O30">+IF(N11=E11,0,1)</f>
        <v>1</v>
      </c>
    </row>
    <row r="12" spans="2:15" ht="15">
      <c r="B12" s="968" t="s">
        <v>249</v>
      </c>
      <c r="C12" s="968"/>
      <c r="D12" s="968"/>
      <c r="E12" s="857"/>
      <c r="F12" s="630"/>
      <c r="G12" s="630"/>
      <c r="H12" s="630"/>
      <c r="I12" s="630"/>
      <c r="J12" s="630"/>
      <c r="K12" s="630"/>
      <c r="L12" s="630"/>
      <c r="N12" s="441">
        <v>0.01</v>
      </c>
      <c r="O12" s="441">
        <f t="shared" si="0"/>
        <v>1</v>
      </c>
    </row>
    <row r="13" spans="2:15" ht="15">
      <c r="B13" s="968" t="s">
        <v>250</v>
      </c>
      <c r="C13" s="968"/>
      <c r="D13" s="968"/>
      <c r="E13" s="857"/>
      <c r="F13" s="630"/>
      <c r="G13" s="630"/>
      <c r="H13" s="630"/>
      <c r="I13" s="630"/>
      <c r="J13" s="630"/>
      <c r="K13" s="630"/>
      <c r="L13" s="630"/>
      <c r="N13" s="441">
        <v>-0.02</v>
      </c>
      <c r="O13" s="441">
        <f t="shared" si="0"/>
        <v>1</v>
      </c>
    </row>
    <row r="14" spans="2:15" ht="15">
      <c r="B14" s="968" t="s">
        <v>251</v>
      </c>
      <c r="C14" s="968"/>
      <c r="D14" s="968"/>
      <c r="E14" s="857">
        <f>CRER!D6*Factores!$B$7</f>
        <v>-0.012333</v>
      </c>
      <c r="F14" s="630"/>
      <c r="G14" s="630"/>
      <c r="H14" s="630"/>
      <c r="I14" s="630"/>
      <c r="J14" s="630"/>
      <c r="K14" s="630"/>
      <c r="L14" s="630"/>
      <c r="N14" s="441">
        <v>0</v>
      </c>
      <c r="O14" s="441">
        <f t="shared" si="0"/>
        <v>1</v>
      </c>
    </row>
    <row r="15" spans="2:15" ht="15">
      <c r="B15" s="968" t="s">
        <v>252</v>
      </c>
      <c r="C15" s="968"/>
      <c r="D15" s="968"/>
      <c r="E15" s="857">
        <f>CRER!D7*Factores!$B$7</f>
        <v>-0.012333</v>
      </c>
      <c r="F15" s="630"/>
      <c r="G15" s="630"/>
      <c r="H15" s="630"/>
      <c r="I15" s="630"/>
      <c r="J15" s="630"/>
      <c r="K15" s="630"/>
      <c r="L15" s="630"/>
      <c r="N15" s="441">
        <v>0.01</v>
      </c>
      <c r="O15" s="441">
        <f t="shared" si="0"/>
        <v>1</v>
      </c>
    </row>
    <row r="16" spans="2:15" ht="15">
      <c r="B16" s="968" t="s">
        <v>253</v>
      </c>
      <c r="C16" s="968"/>
      <c r="D16" s="968"/>
      <c r="E16" s="857">
        <f>CRER!D8*Factores!$B$7</f>
        <v>0</v>
      </c>
      <c r="F16" s="630"/>
      <c r="G16" s="630"/>
      <c r="H16" s="630"/>
      <c r="I16" s="630"/>
      <c r="J16" s="630"/>
      <c r="K16" s="630"/>
      <c r="L16" s="630"/>
      <c r="N16" s="441">
        <v>0.01</v>
      </c>
      <c r="O16" s="441">
        <f t="shared" si="0"/>
        <v>1</v>
      </c>
    </row>
    <row r="17" spans="2:15" ht="15">
      <c r="B17" s="968" t="s">
        <v>263</v>
      </c>
      <c r="C17" s="968"/>
      <c r="D17" s="968"/>
      <c r="E17" s="857">
        <f>CRER!D9*Factores!$B$7</f>
        <v>0</v>
      </c>
      <c r="F17" s="630"/>
      <c r="G17" s="630"/>
      <c r="H17" s="630"/>
      <c r="I17" s="630"/>
      <c r="J17" s="630"/>
      <c r="K17" s="630"/>
      <c r="L17" s="630"/>
      <c r="N17" s="441">
        <v>0.02</v>
      </c>
      <c r="O17" s="441">
        <f t="shared" si="0"/>
        <v>1</v>
      </c>
    </row>
    <row r="18" spans="2:15" ht="15">
      <c r="B18" s="968" t="s">
        <v>254</v>
      </c>
      <c r="C18" s="968"/>
      <c r="D18" s="968"/>
      <c r="E18" s="857">
        <f>CRER!D10*Factores!$B$7</f>
        <v>0</v>
      </c>
      <c r="F18" s="630"/>
      <c r="G18" s="630"/>
      <c r="H18" s="630"/>
      <c r="I18" s="630"/>
      <c r="J18" s="630"/>
      <c r="K18" s="630"/>
      <c r="L18" s="630"/>
      <c r="N18" s="441">
        <v>0.01</v>
      </c>
      <c r="O18" s="441">
        <f t="shared" si="0"/>
        <v>1</v>
      </c>
    </row>
    <row r="19" spans="2:15" ht="15">
      <c r="B19" s="968" t="s">
        <v>264</v>
      </c>
      <c r="C19" s="968"/>
      <c r="D19" s="968"/>
      <c r="E19" s="857">
        <f>CRER!D11*Factores!$B$7</f>
        <v>-0.012333</v>
      </c>
      <c r="F19" s="630"/>
      <c r="G19" s="630"/>
      <c r="H19" s="630"/>
      <c r="I19" s="630"/>
      <c r="J19" s="630"/>
      <c r="K19" s="630"/>
      <c r="L19" s="630"/>
      <c r="N19" s="441">
        <v>0.02</v>
      </c>
      <c r="O19" s="441">
        <f t="shared" si="0"/>
        <v>1</v>
      </c>
    </row>
    <row r="20" spans="2:15" ht="15">
      <c r="B20" s="968" t="s">
        <v>265</v>
      </c>
      <c r="C20" s="968"/>
      <c r="D20" s="968"/>
      <c r="E20" s="857">
        <f>CRER!D12*Factores!$B$7</f>
        <v>-0.012333</v>
      </c>
      <c r="F20" s="630"/>
      <c r="G20" s="630"/>
      <c r="H20" s="630"/>
      <c r="I20" s="630"/>
      <c r="J20" s="630"/>
      <c r="K20" s="630"/>
      <c r="L20" s="630"/>
      <c r="N20" s="441">
        <v>0.02</v>
      </c>
      <c r="O20" s="441">
        <f t="shared" si="0"/>
        <v>1</v>
      </c>
    </row>
    <row r="21" spans="2:15" ht="15">
      <c r="B21" s="968" t="s">
        <v>255</v>
      </c>
      <c r="C21" s="968"/>
      <c r="D21" s="968"/>
      <c r="E21" s="857">
        <f>CRER!D13*Factores!$B$7</f>
        <v>-0.012333</v>
      </c>
      <c r="F21" s="630"/>
      <c r="G21" s="630"/>
      <c r="H21" s="630"/>
      <c r="I21" s="630"/>
      <c r="J21" s="630"/>
      <c r="K21" s="630"/>
      <c r="L21" s="630"/>
      <c r="N21" s="441">
        <v>0.02</v>
      </c>
      <c r="O21" s="441">
        <f t="shared" si="0"/>
        <v>1</v>
      </c>
    </row>
    <row r="22" spans="2:15" ht="15">
      <c r="B22" s="968" t="s">
        <v>266</v>
      </c>
      <c r="C22" s="968"/>
      <c r="D22" s="968"/>
      <c r="E22" s="857">
        <f>CRER!D14*Factores!$B$7</f>
        <v>0</v>
      </c>
      <c r="F22" s="630"/>
      <c r="G22" s="630"/>
      <c r="H22" s="630"/>
      <c r="I22" s="630"/>
      <c r="J22" s="630"/>
      <c r="K22" s="630"/>
      <c r="L22" s="630"/>
      <c r="N22" s="441">
        <v>0.02</v>
      </c>
      <c r="O22" s="441">
        <f t="shared" si="0"/>
        <v>1</v>
      </c>
    </row>
    <row r="23" spans="2:15" ht="15">
      <c r="B23" s="968" t="s">
        <v>256</v>
      </c>
      <c r="C23" s="968"/>
      <c r="D23" s="968"/>
      <c r="E23" s="857">
        <f>CRER!D15*Factores!$B$7</f>
        <v>0</v>
      </c>
      <c r="F23" s="630"/>
      <c r="G23" s="630"/>
      <c r="H23" s="630"/>
      <c r="I23" s="630"/>
      <c r="J23" s="630"/>
      <c r="K23" s="630"/>
      <c r="L23" s="630"/>
      <c r="N23" s="441">
        <v>0.01</v>
      </c>
      <c r="O23" s="441">
        <f t="shared" si="0"/>
        <v>1</v>
      </c>
    </row>
    <row r="24" spans="2:15" ht="15">
      <c r="B24" s="968" t="s">
        <v>257</v>
      </c>
      <c r="C24" s="968"/>
      <c r="D24" s="968"/>
      <c r="E24" s="857">
        <f>CRER!D16*Factores!$B$7</f>
        <v>0</v>
      </c>
      <c r="F24" s="630"/>
      <c r="G24" s="630"/>
      <c r="H24" s="630"/>
      <c r="I24" s="630"/>
      <c r="J24" s="630"/>
      <c r="K24" s="630"/>
      <c r="L24" s="630"/>
      <c r="N24" s="441">
        <v>0.01</v>
      </c>
      <c r="O24" s="441">
        <f t="shared" si="0"/>
        <v>1</v>
      </c>
    </row>
    <row r="25" spans="2:15" ht="15">
      <c r="B25" s="968" t="s">
        <v>267</v>
      </c>
      <c r="C25" s="968"/>
      <c r="D25" s="968"/>
      <c r="E25" s="857">
        <f>CRER!D17*Factores!$B$7</f>
        <v>-0.012333</v>
      </c>
      <c r="F25" s="630"/>
      <c r="G25" s="630"/>
      <c r="H25" s="630"/>
      <c r="I25" s="630"/>
      <c r="J25" s="630"/>
      <c r="K25" s="630"/>
      <c r="L25" s="630"/>
      <c r="N25" s="441">
        <v>0.02</v>
      </c>
      <c r="O25" s="441">
        <f t="shared" si="0"/>
        <v>1</v>
      </c>
    </row>
    <row r="26" spans="2:15" ht="15">
      <c r="B26" s="968" t="s">
        <v>258</v>
      </c>
      <c r="C26" s="968"/>
      <c r="D26" s="968"/>
      <c r="E26" s="857">
        <f>CRER!D18*Factores!$B$7</f>
        <v>-0.012333</v>
      </c>
      <c r="F26" s="630"/>
      <c r="G26" s="630"/>
      <c r="H26" s="630"/>
      <c r="I26" s="630"/>
      <c r="J26" s="630"/>
      <c r="K26" s="630"/>
      <c r="L26" s="630"/>
      <c r="N26" s="441">
        <v>0.02</v>
      </c>
      <c r="O26" s="441">
        <f t="shared" si="0"/>
        <v>1</v>
      </c>
    </row>
    <row r="27" spans="2:15" ht="15">
      <c r="B27" s="968" t="s">
        <v>259</v>
      </c>
      <c r="C27" s="968"/>
      <c r="D27" s="968"/>
      <c r="E27" s="857">
        <f>CRER!D20*Factores!$B$7</f>
        <v>0</v>
      </c>
      <c r="F27" s="630"/>
      <c r="G27" s="630"/>
      <c r="H27" s="630"/>
      <c r="I27" s="630"/>
      <c r="J27" s="630"/>
      <c r="K27" s="630"/>
      <c r="L27" s="630"/>
      <c r="N27" s="441">
        <v>0.02</v>
      </c>
      <c r="O27" s="441">
        <f t="shared" si="0"/>
        <v>1</v>
      </c>
    </row>
    <row r="28" spans="2:15" ht="15">
      <c r="B28" s="968" t="s">
        <v>260</v>
      </c>
      <c r="C28" s="968"/>
      <c r="D28" s="968"/>
      <c r="E28" s="857">
        <f>CRER!D21*Factores!$B$7</f>
        <v>0.012333</v>
      </c>
      <c r="F28" s="630"/>
      <c r="G28" s="630"/>
      <c r="H28" s="630"/>
      <c r="I28" s="630"/>
      <c r="J28" s="630"/>
      <c r="K28" s="630"/>
      <c r="L28" s="630"/>
      <c r="N28" s="441">
        <v>-0.01</v>
      </c>
      <c r="O28" s="441">
        <f t="shared" si="0"/>
        <v>1</v>
      </c>
    </row>
    <row r="29" spans="2:15" ht="15">
      <c r="B29" s="968" t="s">
        <v>261</v>
      </c>
      <c r="C29" s="968"/>
      <c r="D29" s="968"/>
      <c r="E29" s="857">
        <f>CRER!D22*Factores!$B$7</f>
        <v>-0.012333</v>
      </c>
      <c r="F29" s="630"/>
      <c r="G29" s="630"/>
      <c r="H29" s="630"/>
      <c r="I29" s="630"/>
      <c r="J29" s="630"/>
      <c r="K29" s="630"/>
      <c r="L29" s="630"/>
      <c r="N29" s="441">
        <v>0</v>
      </c>
      <c r="O29" s="441">
        <f t="shared" si="0"/>
        <v>1</v>
      </c>
    </row>
    <row r="30" spans="2:16" ht="15">
      <c r="B30" s="968" t="s">
        <v>262</v>
      </c>
      <c r="C30" s="968"/>
      <c r="D30" s="968"/>
      <c r="E30" s="857">
        <f>CRER!D23*Factores!$B$7</f>
        <v>-0.012333</v>
      </c>
      <c r="F30" s="630"/>
      <c r="G30" s="630"/>
      <c r="H30" s="630"/>
      <c r="I30" s="630"/>
      <c r="J30" s="630"/>
      <c r="K30" s="630"/>
      <c r="L30" s="630"/>
      <c r="N30" s="441">
        <v>0.02</v>
      </c>
      <c r="O30" s="441">
        <f t="shared" si="0"/>
        <v>1</v>
      </c>
      <c r="P30" s="726">
        <f>+SUM(O11:O30)</f>
        <v>20</v>
      </c>
    </row>
    <row r="31" spans="2:12" ht="12.75">
      <c r="B31" s="523"/>
      <c r="C31" s="630"/>
      <c r="D31" s="630"/>
      <c r="E31" s="630"/>
      <c r="F31" s="630"/>
      <c r="G31" s="630"/>
      <c r="H31" s="630"/>
      <c r="I31" s="630"/>
      <c r="J31" s="630"/>
      <c r="K31" s="630"/>
      <c r="L31" s="630"/>
    </row>
    <row r="32" spans="2:12" ht="12.75">
      <c r="B32" s="523"/>
      <c r="C32" s="630"/>
      <c r="D32" s="630"/>
      <c r="E32" s="630"/>
      <c r="F32" s="630"/>
      <c r="G32" s="630"/>
      <c r="H32" s="630"/>
      <c r="I32" s="630"/>
      <c r="J32" s="630"/>
      <c r="K32" s="630"/>
      <c r="L32" s="630"/>
    </row>
    <row r="33" spans="2:12" ht="15.75">
      <c r="B33" s="632" t="s">
        <v>124</v>
      </c>
      <c r="C33" s="630"/>
      <c r="D33" s="733"/>
      <c r="E33" s="733"/>
      <c r="F33" s="733"/>
      <c r="G33" s="733"/>
      <c r="H33" s="733"/>
      <c r="I33" s="733"/>
      <c r="J33" s="733"/>
      <c r="K33" s="733"/>
      <c r="L33" s="733"/>
    </row>
    <row r="34" spans="2:12" ht="12.75">
      <c r="B34" s="733"/>
      <c r="C34" s="733"/>
      <c r="D34" s="633"/>
      <c r="E34" s="633"/>
      <c r="F34" s="633"/>
      <c r="G34" s="633"/>
      <c r="H34" s="633"/>
      <c r="I34" s="633"/>
      <c r="J34" s="633"/>
      <c r="K34" s="633"/>
      <c r="L34" s="633"/>
    </row>
    <row r="35" spans="2:12" ht="12.75" customHeight="1">
      <c r="B35" s="635" t="s">
        <v>6</v>
      </c>
      <c r="C35" s="635" t="s">
        <v>3</v>
      </c>
      <c r="D35" s="669" t="s">
        <v>4</v>
      </c>
      <c r="E35" s="635" t="s">
        <v>7</v>
      </c>
      <c r="F35" s="635" t="s">
        <v>49</v>
      </c>
      <c r="G35" s="669" t="s">
        <v>1</v>
      </c>
      <c r="H35" s="635" t="s">
        <v>2</v>
      </c>
      <c r="I35" s="630"/>
      <c r="J35" s="630"/>
      <c r="K35" s="630"/>
      <c r="L35" s="630"/>
    </row>
    <row r="36" spans="2:12" ht="12.75" customHeight="1">
      <c r="B36" s="658"/>
      <c r="C36" s="658"/>
      <c r="D36" s="670"/>
      <c r="E36" s="658" t="s">
        <v>86</v>
      </c>
      <c r="F36" s="658" t="s">
        <v>51</v>
      </c>
      <c r="G36" s="671" t="s">
        <v>274</v>
      </c>
      <c r="H36" s="639" t="s">
        <v>275</v>
      </c>
      <c r="I36" s="630"/>
      <c r="J36" s="630"/>
      <c r="K36" s="630"/>
      <c r="L36" s="630"/>
    </row>
    <row r="37" spans="2:18" ht="12.75">
      <c r="B37" s="640" t="s">
        <v>11</v>
      </c>
      <c r="C37" s="734" t="s">
        <v>9</v>
      </c>
      <c r="D37" s="673" t="s">
        <v>10</v>
      </c>
      <c r="E37" s="641" t="s">
        <v>12</v>
      </c>
      <c r="F37" s="642" t="s">
        <v>63</v>
      </c>
      <c r="G37" s="849">
        <f>'Resolución 137-2019-OS_CD'!G166*Factores!$B$7</f>
        <v>0.36999</v>
      </c>
      <c r="H37" s="849">
        <f>'Resolución 137-2019-OS_CD'!H166*Factores!$B$7</f>
        <v>0.505653</v>
      </c>
      <c r="I37" s="630"/>
      <c r="J37" s="630"/>
      <c r="K37" s="886"/>
      <c r="L37" s="630"/>
      <c r="N37" s="441">
        <v>0.27</v>
      </c>
      <c r="O37" s="441">
        <v>0.36</v>
      </c>
      <c r="Q37" s="441">
        <f aca="true" t="shared" si="1" ref="Q37:Q59">+IF(N37=G37,0,1)</f>
        <v>1</v>
      </c>
      <c r="R37" s="441">
        <f aca="true" t="shared" si="2" ref="R37:R59">+IF(O37=H37,0,1)</f>
        <v>1</v>
      </c>
    </row>
    <row r="38" spans="2:18" ht="12.75">
      <c r="B38" s="643"/>
      <c r="C38" s="736"/>
      <c r="D38" s="675"/>
      <c r="E38" s="645"/>
      <c r="F38" s="642" t="s">
        <v>87</v>
      </c>
      <c r="G38" s="849">
        <f>'Resolución 137-2019-OS_CD'!G167*Factores!$B$7</f>
        <v>0.24666000000000002</v>
      </c>
      <c r="H38" s="849">
        <f>'Resolución 137-2019-OS_CD'!H167*Factores!$B$7</f>
        <v>0.36999</v>
      </c>
      <c r="I38" s="630"/>
      <c r="J38" s="630"/>
      <c r="K38" s="886"/>
      <c r="L38" s="630"/>
      <c r="N38" s="441">
        <v>0.18</v>
      </c>
      <c r="O38" s="441">
        <v>0.27</v>
      </c>
      <c r="Q38" s="441">
        <f t="shared" si="1"/>
        <v>1</v>
      </c>
      <c r="R38" s="441">
        <f t="shared" si="2"/>
        <v>1</v>
      </c>
    </row>
    <row r="39" spans="2:18" ht="12.75">
      <c r="B39" s="643"/>
      <c r="C39" s="736"/>
      <c r="D39" s="675"/>
      <c r="E39" s="645"/>
      <c r="F39" s="642" t="s">
        <v>270</v>
      </c>
      <c r="G39" s="849">
        <f>'Resolución 137-2019-OS_CD'!G168*Factores!$B$7</f>
        <v>0.24666000000000002</v>
      </c>
      <c r="H39" s="849"/>
      <c r="I39" s="630"/>
      <c r="J39" s="630"/>
      <c r="K39" s="886"/>
      <c r="L39" s="630"/>
      <c r="N39" s="441">
        <v>0.21</v>
      </c>
      <c r="Q39" s="441">
        <f t="shared" si="1"/>
        <v>1</v>
      </c>
      <c r="R39" s="441">
        <f t="shared" si="2"/>
        <v>0</v>
      </c>
    </row>
    <row r="40" spans="2:18" ht="12.75">
      <c r="B40" s="643"/>
      <c r="C40" s="736"/>
      <c r="D40" s="675"/>
      <c r="E40" s="645"/>
      <c r="F40" s="642" t="s">
        <v>88</v>
      </c>
      <c r="G40" s="849">
        <f>'Resolución 137-2019-OS_CD'!G169*Factores!$B$7</f>
        <v>0.24666000000000002</v>
      </c>
      <c r="H40" s="849">
        <f>'Resolución 137-2019-OS_CD'!H169*Factores!$B$7</f>
        <v>0.36999</v>
      </c>
      <c r="I40" s="630"/>
      <c r="J40" s="630"/>
      <c r="K40" s="886"/>
      <c r="L40" s="630"/>
      <c r="N40" s="441">
        <v>0.21</v>
      </c>
      <c r="O40" s="441">
        <v>0.27</v>
      </c>
      <c r="Q40" s="441">
        <f t="shared" si="1"/>
        <v>1</v>
      </c>
      <c r="R40" s="441">
        <f t="shared" si="2"/>
        <v>1</v>
      </c>
    </row>
    <row r="41" spans="2:18" ht="12.75">
      <c r="B41" s="643"/>
      <c r="C41" s="736"/>
      <c r="D41" s="675"/>
      <c r="E41" s="645"/>
      <c r="F41" s="642" t="s">
        <v>271</v>
      </c>
      <c r="G41" s="849">
        <f>'Resolución 137-2019-OS_CD'!G170*Factores!$B$7</f>
        <v>0.295992</v>
      </c>
      <c r="H41" s="849"/>
      <c r="I41" s="630"/>
      <c r="J41" s="630"/>
      <c r="K41" s="886"/>
      <c r="L41" s="630"/>
      <c r="N41" s="441">
        <v>0.24</v>
      </c>
      <c r="Q41" s="441">
        <f t="shared" si="1"/>
        <v>1</v>
      </c>
      <c r="R41" s="441">
        <f t="shared" si="2"/>
        <v>0</v>
      </c>
    </row>
    <row r="42" spans="2:18" ht="12.75">
      <c r="B42" s="643"/>
      <c r="C42" s="736"/>
      <c r="D42" s="677"/>
      <c r="E42" s="737"/>
      <c r="F42" s="642" t="s">
        <v>56</v>
      </c>
      <c r="G42" s="849">
        <f>'Resolución 137-2019-OS_CD'!G171*Factores!$B$7</f>
        <v>0.08633100000000002</v>
      </c>
      <c r="H42" s="849">
        <f>'Resolución 137-2019-OS_CD'!H171*Factores!$B$7</f>
        <v>0.20966100000000001</v>
      </c>
      <c r="I42" s="630"/>
      <c r="J42" s="630"/>
      <c r="K42" s="886"/>
      <c r="L42" s="630"/>
      <c r="N42" s="441">
        <v>0.06</v>
      </c>
      <c r="O42" s="441">
        <v>0.15</v>
      </c>
      <c r="Q42" s="441">
        <f t="shared" si="1"/>
        <v>1</v>
      </c>
      <c r="R42" s="441">
        <f t="shared" si="2"/>
        <v>1</v>
      </c>
    </row>
    <row r="43" spans="2:18" ht="12.75">
      <c r="B43" s="643"/>
      <c r="C43" s="736"/>
      <c r="D43" s="673" t="s">
        <v>14</v>
      </c>
      <c r="E43" s="641" t="s">
        <v>15</v>
      </c>
      <c r="F43" s="642" t="s">
        <v>63</v>
      </c>
      <c r="G43" s="849">
        <f>'Resolución 137-2019-OS_CD'!G172*Factores!$B$7</f>
        <v>0.41932200000000003</v>
      </c>
      <c r="H43" s="849">
        <f>'Resolución 137-2019-OS_CD'!H172*Factores!$B$7</f>
        <v>0.505653</v>
      </c>
      <c r="I43" s="630"/>
      <c r="J43" s="630"/>
      <c r="K43" s="886"/>
      <c r="L43" s="630"/>
      <c r="N43" s="441">
        <v>0.3</v>
      </c>
      <c r="O43" s="441">
        <v>0.36</v>
      </c>
      <c r="Q43" s="441">
        <f t="shared" si="1"/>
        <v>1</v>
      </c>
      <c r="R43" s="441">
        <f t="shared" si="2"/>
        <v>1</v>
      </c>
    </row>
    <row r="44" spans="2:18" ht="12.75">
      <c r="B44" s="643"/>
      <c r="C44" s="736"/>
      <c r="D44" s="675"/>
      <c r="E44" s="645"/>
      <c r="F44" s="642" t="s">
        <v>87</v>
      </c>
      <c r="G44" s="849">
        <f>'Resolución 137-2019-OS_CD'!G173*Factores!$B$7</f>
        <v>0.24666000000000002</v>
      </c>
      <c r="H44" s="849">
        <f>'Resolución 137-2019-OS_CD'!H173*Factores!$B$7</f>
        <v>0.36999</v>
      </c>
      <c r="I44" s="630"/>
      <c r="J44" s="630"/>
      <c r="K44" s="886"/>
      <c r="L44" s="630"/>
      <c r="N44" s="441">
        <v>0.18</v>
      </c>
      <c r="O44" s="441">
        <v>0.27</v>
      </c>
      <c r="Q44" s="441">
        <f t="shared" si="1"/>
        <v>1</v>
      </c>
      <c r="R44" s="441">
        <f t="shared" si="2"/>
        <v>1</v>
      </c>
    </row>
    <row r="45" spans="2:18" ht="12.75">
      <c r="B45" s="643"/>
      <c r="C45" s="736"/>
      <c r="D45" s="675"/>
      <c r="E45" s="645"/>
      <c r="F45" s="642" t="s">
        <v>88</v>
      </c>
      <c r="G45" s="849">
        <f>'Resolución 137-2019-OS_CD'!G174*Factores!$B$7</f>
        <v>0.24666000000000002</v>
      </c>
      <c r="H45" s="849">
        <f>'Resolución 137-2019-OS_CD'!H174*Factores!$B$7</f>
        <v>0.36999</v>
      </c>
      <c r="I45" s="630"/>
      <c r="J45" s="630"/>
      <c r="K45" s="886"/>
      <c r="L45" s="630"/>
      <c r="N45" s="441">
        <v>0.21</v>
      </c>
      <c r="O45" s="441">
        <v>0.3</v>
      </c>
      <c r="Q45" s="441">
        <f t="shared" si="1"/>
        <v>1</v>
      </c>
      <c r="R45" s="441">
        <f t="shared" si="2"/>
        <v>1</v>
      </c>
    </row>
    <row r="46" spans="2:18" ht="12.75">
      <c r="B46" s="643"/>
      <c r="C46" s="736"/>
      <c r="D46" s="675"/>
      <c r="E46" s="645"/>
      <c r="F46" s="649" t="s">
        <v>56</v>
      </c>
      <c r="G46" s="849">
        <f>'Resolución 137-2019-OS_CD'!G175*Factores!$B$7</f>
        <v>0.08633100000000002</v>
      </c>
      <c r="H46" s="849">
        <f>'Resolución 137-2019-OS_CD'!H175*Factores!$B$7</f>
        <v>0.20966100000000001</v>
      </c>
      <c r="I46" s="630"/>
      <c r="J46" s="630"/>
      <c r="K46" s="886"/>
      <c r="L46" s="630"/>
      <c r="N46" s="441">
        <v>0.09</v>
      </c>
      <c r="O46" s="441">
        <v>0.15</v>
      </c>
      <c r="Q46" s="441">
        <f t="shared" si="1"/>
        <v>1</v>
      </c>
      <c r="R46" s="441">
        <f t="shared" si="2"/>
        <v>1</v>
      </c>
    </row>
    <row r="47" spans="2:18" ht="12.75">
      <c r="B47" s="640" t="s">
        <v>18</v>
      </c>
      <c r="C47" s="640" t="s">
        <v>16</v>
      </c>
      <c r="D47" s="687" t="s">
        <v>17</v>
      </c>
      <c r="E47" s="641" t="s">
        <v>19</v>
      </c>
      <c r="F47" s="642" t="s">
        <v>63</v>
      </c>
      <c r="G47" s="849">
        <f>'Resolución 137-2019-OS_CD'!G176*Factores!$B$7</f>
        <v>0.752313</v>
      </c>
      <c r="H47" s="849">
        <f>'Resolución 137-2019-OS_CD'!H176*Factores!$B$7</f>
        <v>0.875643</v>
      </c>
      <c r="I47" s="630"/>
      <c r="J47" s="630"/>
      <c r="K47" s="886"/>
      <c r="L47" s="630"/>
      <c r="N47" s="441">
        <v>0.51</v>
      </c>
      <c r="O47" s="441">
        <v>0.6</v>
      </c>
      <c r="Q47" s="441">
        <f t="shared" si="1"/>
        <v>1</v>
      </c>
      <c r="R47" s="441">
        <f t="shared" si="2"/>
        <v>1</v>
      </c>
    </row>
    <row r="48" spans="2:18" ht="12.75">
      <c r="B48" s="643"/>
      <c r="C48" s="643"/>
      <c r="D48" s="738"/>
      <c r="E48" s="645"/>
      <c r="F48" s="642" t="s">
        <v>60</v>
      </c>
      <c r="G48" s="849">
        <f>'Resolución 137-2019-OS_CD'!G177*Factores!$B$7</f>
        <v>0.542652</v>
      </c>
      <c r="H48" s="849">
        <f>'Resolución 137-2019-OS_CD'!H177*Factores!$B$7</f>
        <v>0.6659820000000001</v>
      </c>
      <c r="I48" s="630"/>
      <c r="J48" s="630"/>
      <c r="K48" s="886"/>
      <c r="L48" s="630"/>
      <c r="N48" s="441">
        <v>0.42</v>
      </c>
      <c r="O48" s="441">
        <v>0.51</v>
      </c>
      <c r="Q48" s="441">
        <f t="shared" si="1"/>
        <v>1</v>
      </c>
      <c r="R48" s="441">
        <f t="shared" si="2"/>
        <v>1</v>
      </c>
    </row>
    <row r="49" spans="2:18" ht="12.75">
      <c r="B49" s="643"/>
      <c r="C49" s="643"/>
      <c r="D49" s="738"/>
      <c r="E49" s="645"/>
      <c r="F49" s="642" t="s">
        <v>56</v>
      </c>
      <c r="G49" s="849">
        <f>'Resolución 137-2019-OS_CD'!G178*Factores!$B$7</f>
        <v>0.17266200000000004</v>
      </c>
      <c r="H49" s="849">
        <f>'Resolución 137-2019-OS_CD'!H178*Factores!$B$7</f>
        <v>0.24666000000000002</v>
      </c>
      <c r="I49" s="630"/>
      <c r="J49" s="630"/>
      <c r="K49" s="886"/>
      <c r="L49" s="630"/>
      <c r="N49" s="441">
        <v>0.12</v>
      </c>
      <c r="O49" s="441">
        <v>0.18</v>
      </c>
      <c r="Q49" s="441">
        <f t="shared" si="1"/>
        <v>1</v>
      </c>
      <c r="R49" s="441">
        <f t="shared" si="2"/>
        <v>1</v>
      </c>
    </row>
    <row r="50" spans="2:18" ht="12.75">
      <c r="B50" s="643"/>
      <c r="C50" s="643"/>
      <c r="D50" s="738"/>
      <c r="E50" s="645"/>
      <c r="F50" s="642" t="s">
        <v>272</v>
      </c>
      <c r="G50" s="849">
        <f>'Resolución 137-2019-OS_CD'!G179*Factores!$B$7</f>
        <v>0.9126420000000001</v>
      </c>
      <c r="H50" s="849">
        <f>'Resolución 137-2019-OS_CD'!H179*Factores!$B$7</f>
        <v>1.0359720000000001</v>
      </c>
      <c r="I50" s="630"/>
      <c r="J50" s="630"/>
      <c r="K50" s="886"/>
      <c r="L50" s="630"/>
      <c r="N50" s="441">
        <v>0.69</v>
      </c>
      <c r="O50" s="441">
        <v>0.78</v>
      </c>
      <c r="Q50" s="441">
        <f t="shared" si="1"/>
        <v>1</v>
      </c>
      <c r="R50" s="441">
        <f t="shared" si="2"/>
        <v>1</v>
      </c>
    </row>
    <row r="51" spans="2:18" ht="12.75">
      <c r="B51" s="643"/>
      <c r="C51" s="643"/>
      <c r="D51" s="739" t="s">
        <v>21</v>
      </c>
      <c r="E51" s="740" t="s">
        <v>22</v>
      </c>
      <c r="F51" s="642" t="s">
        <v>63</v>
      </c>
      <c r="G51" s="849">
        <f>'Resolución 137-2019-OS_CD'!G180*Factores!$B$7</f>
        <v>0.752313</v>
      </c>
      <c r="H51" s="849">
        <f>'Resolución 137-2019-OS_CD'!H180*Factores!$B$7</f>
        <v>0.875643</v>
      </c>
      <c r="I51" s="630"/>
      <c r="J51" s="630"/>
      <c r="K51" s="886"/>
      <c r="L51" s="630"/>
      <c r="N51" s="441">
        <v>0.54</v>
      </c>
      <c r="O51" s="441">
        <v>0.6</v>
      </c>
      <c r="Q51" s="441">
        <f t="shared" si="1"/>
        <v>1</v>
      </c>
      <c r="R51" s="441">
        <f t="shared" si="2"/>
        <v>1</v>
      </c>
    </row>
    <row r="52" spans="2:18" ht="12.75">
      <c r="B52" s="643"/>
      <c r="C52" s="643"/>
      <c r="D52" s="738"/>
      <c r="E52" s="645"/>
      <c r="F52" s="642" t="s">
        <v>60</v>
      </c>
      <c r="G52" s="849">
        <f>'Resolución 137-2019-OS_CD'!G181*Factores!$B$7</f>
        <v>0.542652</v>
      </c>
      <c r="H52" s="849">
        <f>'Resolución 137-2019-OS_CD'!H181*Factores!$B$7</f>
        <v>0.6659820000000001</v>
      </c>
      <c r="I52" s="630"/>
      <c r="J52" s="630"/>
      <c r="K52" s="886"/>
      <c r="L52" s="630"/>
      <c r="N52" s="441">
        <v>0.42</v>
      </c>
      <c r="O52" s="441">
        <v>0.51</v>
      </c>
      <c r="Q52" s="441">
        <f t="shared" si="1"/>
        <v>1</v>
      </c>
      <c r="R52" s="441">
        <f t="shared" si="2"/>
        <v>1</v>
      </c>
    </row>
    <row r="53" spans="2:18" ht="12.75">
      <c r="B53" s="643"/>
      <c r="C53" s="643"/>
      <c r="D53" s="738"/>
      <c r="E53" s="645"/>
      <c r="F53" s="642" t="s">
        <v>56</v>
      </c>
      <c r="G53" s="849">
        <f>'Resolución 137-2019-OS_CD'!G182*Factores!$B$7</f>
        <v>0.17266200000000004</v>
      </c>
      <c r="H53" s="849">
        <f>'Resolución 137-2019-OS_CD'!H182*Factores!$B$7</f>
        <v>0.24666000000000002</v>
      </c>
      <c r="I53" s="630"/>
      <c r="J53" s="630"/>
      <c r="K53" s="886"/>
      <c r="L53" s="630"/>
      <c r="N53" s="441">
        <v>0.12</v>
      </c>
      <c r="O53" s="441">
        <v>0.18</v>
      </c>
      <c r="Q53" s="441">
        <f t="shared" si="1"/>
        <v>1</v>
      </c>
      <c r="R53" s="441">
        <f t="shared" si="2"/>
        <v>1</v>
      </c>
    </row>
    <row r="54" spans="2:18" ht="12.75">
      <c r="B54" s="643"/>
      <c r="C54" s="643"/>
      <c r="D54" s="738"/>
      <c r="E54" s="645"/>
      <c r="F54" s="642" t="s">
        <v>272</v>
      </c>
      <c r="G54" s="849">
        <f>'Resolución 137-2019-OS_CD'!G183*Factores!$B$7</f>
        <v>0.9619740000000001</v>
      </c>
      <c r="H54" s="849">
        <f>'Resolución 137-2019-OS_CD'!H183*Factores!$B$7</f>
        <v>1.085304</v>
      </c>
      <c r="I54" s="630"/>
      <c r="J54" s="630"/>
      <c r="K54" s="886"/>
      <c r="L54" s="630"/>
      <c r="N54" s="441">
        <v>0.75</v>
      </c>
      <c r="O54" s="441">
        <v>0.81</v>
      </c>
      <c r="Q54" s="441">
        <f t="shared" si="1"/>
        <v>1</v>
      </c>
      <c r="R54" s="441">
        <f t="shared" si="2"/>
        <v>1</v>
      </c>
    </row>
    <row r="55" spans="2:18" ht="12.75">
      <c r="B55" s="643"/>
      <c r="C55" s="663" t="s">
        <v>23</v>
      </c>
      <c r="D55" s="688" t="s">
        <v>24</v>
      </c>
      <c r="E55" s="666" t="s">
        <v>25</v>
      </c>
      <c r="F55" s="642" t="s">
        <v>273</v>
      </c>
      <c r="G55" s="849">
        <f>'Resolución 137-2019-OS_CD'!G184*Factores!$B$8</f>
        <v>1.2285399999999997</v>
      </c>
      <c r="H55" s="849">
        <f>'Resolución 137-2019-OS_CD'!H184*Factores!$B$8</f>
        <v>1.4483840000000001</v>
      </c>
      <c r="I55" s="630"/>
      <c r="J55" s="630"/>
      <c r="K55" s="886"/>
      <c r="L55" s="630"/>
      <c r="N55" s="441">
        <v>0.9</v>
      </c>
      <c r="O55" s="441">
        <v>0.99</v>
      </c>
      <c r="Q55" s="441">
        <f t="shared" si="1"/>
        <v>1</v>
      </c>
      <c r="R55" s="441">
        <f t="shared" si="2"/>
        <v>1</v>
      </c>
    </row>
    <row r="56" spans="2:18" ht="12.75">
      <c r="B56" s="643"/>
      <c r="C56" s="643" t="s">
        <v>26</v>
      </c>
      <c r="D56" s="675" t="s">
        <v>27</v>
      </c>
      <c r="E56" s="645" t="s">
        <v>28</v>
      </c>
      <c r="F56" s="642" t="s">
        <v>272</v>
      </c>
      <c r="G56" s="849">
        <f>'Resolución 137-2019-OS_CD'!G185*Factores!$B$8</f>
        <v>1.3061319999999998</v>
      </c>
      <c r="H56" s="849">
        <f>'Resolución 137-2019-OS_CD'!H185*Factores!$B$8</f>
        <v>1.7070239999999999</v>
      </c>
      <c r="I56" s="630"/>
      <c r="J56" s="630"/>
      <c r="K56" s="886"/>
      <c r="L56" s="630"/>
      <c r="N56" s="441">
        <v>0.93</v>
      </c>
      <c r="O56" s="441">
        <v>1.2</v>
      </c>
      <c r="Q56" s="441">
        <f t="shared" si="1"/>
        <v>1</v>
      </c>
      <c r="R56" s="441">
        <f t="shared" si="2"/>
        <v>1</v>
      </c>
    </row>
    <row r="57" spans="2:18" ht="12.75">
      <c r="B57" s="643"/>
      <c r="C57" s="643"/>
      <c r="D57" s="741" t="s">
        <v>29</v>
      </c>
      <c r="E57" s="740" t="s">
        <v>30</v>
      </c>
      <c r="F57" s="642" t="s">
        <v>272</v>
      </c>
      <c r="G57" s="858"/>
      <c r="H57" s="849">
        <f>'Resolución 137-2019-OS_CD'!H186*Factores!$B$8</f>
        <v>2.353624</v>
      </c>
      <c r="I57" s="630"/>
      <c r="J57" s="630"/>
      <c r="K57" s="886"/>
      <c r="L57" s="630"/>
      <c r="O57" s="441">
        <v>1.67</v>
      </c>
      <c r="Q57" s="441">
        <f t="shared" si="1"/>
        <v>0</v>
      </c>
      <c r="R57" s="441">
        <f t="shared" si="2"/>
        <v>1</v>
      </c>
    </row>
    <row r="58" spans="2:18" ht="12.75">
      <c r="B58" s="643"/>
      <c r="C58" s="643"/>
      <c r="D58" s="741" t="s">
        <v>31</v>
      </c>
      <c r="E58" s="740" t="s">
        <v>32</v>
      </c>
      <c r="F58" s="642" t="s">
        <v>272</v>
      </c>
      <c r="G58" s="859"/>
      <c r="H58" s="849">
        <f>'Resolución 137-2019-OS_CD'!H187*Factores!$B$8</f>
        <v>3.0648839999999997</v>
      </c>
      <c r="I58" s="630"/>
      <c r="J58" s="630"/>
      <c r="K58" s="886"/>
      <c r="L58" s="630"/>
      <c r="O58" s="441">
        <v>1.88</v>
      </c>
      <c r="Q58" s="441">
        <f t="shared" si="1"/>
        <v>0</v>
      </c>
      <c r="R58" s="441">
        <f t="shared" si="2"/>
        <v>1</v>
      </c>
    </row>
    <row r="59" spans="2:19" ht="12.75">
      <c r="B59" s="647"/>
      <c r="C59" s="647"/>
      <c r="D59" s="742" t="s">
        <v>33</v>
      </c>
      <c r="E59" s="743" t="s">
        <v>34</v>
      </c>
      <c r="F59" s="642" t="s">
        <v>272</v>
      </c>
      <c r="G59" s="860"/>
      <c r="H59" s="849">
        <f>'Resolución 137-2019-OS_CD'!H188*Factores!$B$8</f>
        <v>3.3235239999999995</v>
      </c>
      <c r="I59" s="630"/>
      <c r="J59" s="630"/>
      <c r="K59" s="886"/>
      <c r="L59" s="630"/>
      <c r="O59" s="441">
        <v>2.06</v>
      </c>
      <c r="Q59" s="441">
        <f t="shared" si="1"/>
        <v>0</v>
      </c>
      <c r="R59" s="441">
        <f t="shared" si="2"/>
        <v>1</v>
      </c>
      <c r="S59" s="726">
        <f>+SUM(Q37:R59)</f>
        <v>41</v>
      </c>
    </row>
    <row r="60" spans="2:12" ht="12.75">
      <c r="B60" s="733" t="s">
        <v>276</v>
      </c>
      <c r="C60" s="733"/>
      <c r="D60" s="733"/>
      <c r="E60" s="733"/>
      <c r="F60" s="633"/>
      <c r="G60" s="633"/>
      <c r="H60" s="633"/>
      <c r="I60" s="633"/>
      <c r="J60" s="633"/>
      <c r="K60" s="633"/>
      <c r="L60" s="633"/>
    </row>
    <row r="61" spans="2:12" ht="12.75">
      <c r="B61" s="630" t="s">
        <v>277</v>
      </c>
      <c r="C61" s="630"/>
      <c r="D61" s="630"/>
      <c r="E61" s="630"/>
      <c r="F61" s="630"/>
      <c r="G61" s="630"/>
      <c r="H61" s="630"/>
      <c r="I61" s="630"/>
      <c r="J61" s="630"/>
      <c r="K61" s="633"/>
      <c r="L61" s="633"/>
    </row>
    <row r="62" spans="2:12" ht="12.75">
      <c r="B62" s="633" t="s">
        <v>278</v>
      </c>
      <c r="C62" s="633"/>
      <c r="D62" s="633"/>
      <c r="E62" s="633"/>
      <c r="F62" s="633"/>
      <c r="G62" s="633"/>
      <c r="H62" s="633"/>
      <c r="I62" s="633"/>
      <c r="J62" s="633"/>
      <c r="K62" s="633"/>
      <c r="L62" s="633"/>
    </row>
    <row r="63" spans="2:12" ht="12.75">
      <c r="B63" s="633"/>
      <c r="C63" s="633"/>
      <c r="D63" s="633"/>
      <c r="E63" s="633"/>
      <c r="F63" s="633"/>
      <c r="G63" s="633"/>
      <c r="H63" s="633"/>
      <c r="I63" s="633"/>
      <c r="J63" s="633"/>
      <c r="K63" s="633"/>
      <c r="L63" s="633"/>
    </row>
    <row r="64" spans="2:12" ht="12.75">
      <c r="B64" s="633"/>
      <c r="C64" s="633"/>
      <c r="D64" s="633"/>
      <c r="E64" s="633"/>
      <c r="F64" s="633"/>
      <c r="G64" s="633"/>
      <c r="H64" s="633"/>
      <c r="I64" s="633"/>
      <c r="J64" s="633"/>
      <c r="K64" s="633"/>
      <c r="L64" s="633"/>
    </row>
    <row r="65" spans="2:12" ht="15.75">
      <c r="B65" s="632" t="s">
        <v>125</v>
      </c>
      <c r="C65" s="630"/>
      <c r="D65" s="633"/>
      <c r="E65" s="633"/>
      <c r="F65" s="633"/>
      <c r="G65" s="633"/>
      <c r="H65" s="633"/>
      <c r="I65" s="633"/>
      <c r="J65" s="633"/>
      <c r="K65" s="633"/>
      <c r="L65" s="633"/>
    </row>
    <row r="66" spans="2:12" ht="12.75" customHeight="1">
      <c r="B66" s="633"/>
      <c r="C66" s="633"/>
      <c r="D66" s="633"/>
      <c r="E66" s="633"/>
      <c r="F66" s="633"/>
      <c r="G66" s="633"/>
      <c r="H66" s="633"/>
      <c r="I66" s="633"/>
      <c r="J66" s="633"/>
      <c r="K66" s="633"/>
      <c r="L66" s="633"/>
    </row>
    <row r="67" spans="2:12" ht="12.75">
      <c r="B67" s="635" t="s">
        <v>6</v>
      </c>
      <c r="C67" s="635" t="s">
        <v>3</v>
      </c>
      <c r="D67" s="635" t="s">
        <v>4</v>
      </c>
      <c r="E67" s="635" t="s">
        <v>7</v>
      </c>
      <c r="F67" s="635" t="s">
        <v>49</v>
      </c>
      <c r="G67" s="635" t="s">
        <v>296</v>
      </c>
      <c r="H67" s="633"/>
      <c r="I67" s="633"/>
      <c r="J67" s="733"/>
      <c r="K67" s="633"/>
      <c r="L67" s="633"/>
    </row>
    <row r="68" spans="2:12" ht="12.75">
      <c r="B68" s="658"/>
      <c r="C68" s="658"/>
      <c r="D68" s="658"/>
      <c r="E68" s="658" t="s">
        <v>86</v>
      </c>
      <c r="F68" s="658" t="s">
        <v>51</v>
      </c>
      <c r="G68" s="658"/>
      <c r="H68" s="633"/>
      <c r="I68" s="633"/>
      <c r="J68" s="733"/>
      <c r="K68" s="633"/>
      <c r="L68" s="633"/>
    </row>
    <row r="69" spans="2:17" ht="12.75">
      <c r="B69" s="640" t="s">
        <v>11</v>
      </c>
      <c r="C69" s="640" t="s">
        <v>9</v>
      </c>
      <c r="D69" s="640" t="s">
        <v>10</v>
      </c>
      <c r="E69" s="641" t="s">
        <v>12</v>
      </c>
      <c r="F69" s="660" t="s">
        <v>87</v>
      </c>
      <c r="G69" s="848">
        <f>+'Resolución 137-2019-OS_CD'!G198*Factores!$B$7</f>
        <v>0.295992</v>
      </c>
      <c r="H69" s="633"/>
      <c r="I69" s="630"/>
      <c r="J69" s="630"/>
      <c r="K69" s="630"/>
      <c r="L69" s="630"/>
      <c r="N69" s="443">
        <v>0.21</v>
      </c>
      <c r="O69" s="442"/>
      <c r="P69" s="443">
        <f aca="true" t="shared" si="3" ref="P69:P74">+IF(N69=G69,0,1)</f>
        <v>1</v>
      </c>
      <c r="Q69" s="443"/>
    </row>
    <row r="70" spans="2:17" ht="12.75">
      <c r="B70" s="744"/>
      <c r="C70" s="744"/>
      <c r="D70" s="745"/>
      <c r="E70" s="745"/>
      <c r="F70" s="660" t="s">
        <v>88</v>
      </c>
      <c r="G70" s="848">
        <f>+'Resolución 137-2019-OS_CD'!G199*Factores!$B$7</f>
        <v>0.33299100000000004</v>
      </c>
      <c r="H70" s="633"/>
      <c r="I70" s="630"/>
      <c r="J70" s="630"/>
      <c r="K70" s="630"/>
      <c r="L70" s="630"/>
      <c r="N70" s="443">
        <v>0.21</v>
      </c>
      <c r="O70" s="442"/>
      <c r="P70" s="443">
        <f t="shared" si="3"/>
        <v>1</v>
      </c>
      <c r="Q70" s="443"/>
    </row>
    <row r="71" spans="2:17" ht="12.75">
      <c r="B71" s="643"/>
      <c r="C71" s="643"/>
      <c r="D71" s="640" t="s">
        <v>14</v>
      </c>
      <c r="E71" s="641" t="s">
        <v>15</v>
      </c>
      <c r="F71" s="660" t="s">
        <v>87</v>
      </c>
      <c r="G71" s="848">
        <f>+'Resolución 137-2019-OS_CD'!G200*Factores!$B$7</f>
        <v>0.33299100000000004</v>
      </c>
      <c r="H71" s="633"/>
      <c r="I71" s="630"/>
      <c r="J71" s="630"/>
      <c r="K71" s="630"/>
      <c r="L71" s="630"/>
      <c r="N71" s="443">
        <v>0.24</v>
      </c>
      <c r="O71" s="442"/>
      <c r="P71" s="443">
        <f t="shared" si="3"/>
        <v>1</v>
      </c>
      <c r="Q71" s="442"/>
    </row>
    <row r="72" spans="2:17" ht="12.75">
      <c r="B72" s="745"/>
      <c r="C72" s="745"/>
      <c r="D72" s="745"/>
      <c r="E72" s="662"/>
      <c r="F72" s="660" t="s">
        <v>88</v>
      </c>
      <c r="G72" s="848">
        <f>+'Resolución 137-2019-OS_CD'!G201*Factores!$B$7</f>
        <v>0.33299100000000004</v>
      </c>
      <c r="H72" s="633"/>
      <c r="I72" s="630"/>
      <c r="J72" s="630"/>
      <c r="K72" s="630"/>
      <c r="L72" s="630"/>
      <c r="N72" s="443">
        <v>0.27</v>
      </c>
      <c r="O72" s="442"/>
      <c r="P72" s="443">
        <f t="shared" si="3"/>
        <v>1</v>
      </c>
      <c r="Q72" s="442"/>
    </row>
    <row r="73" spans="2:17" ht="12.75">
      <c r="B73" s="640" t="s">
        <v>18</v>
      </c>
      <c r="C73" s="640" t="s">
        <v>16</v>
      </c>
      <c r="D73" s="663" t="s">
        <v>17</v>
      </c>
      <c r="E73" s="664" t="s">
        <v>19</v>
      </c>
      <c r="F73" s="663" t="s">
        <v>60</v>
      </c>
      <c r="G73" s="848">
        <f>+'Resolución 137-2019-OS_CD'!G202*Factores!$B$7</f>
        <v>0.579651</v>
      </c>
      <c r="H73" s="633"/>
      <c r="I73" s="630"/>
      <c r="J73" s="630"/>
      <c r="K73" s="630"/>
      <c r="L73" s="630"/>
      <c r="N73" s="443">
        <v>0.45</v>
      </c>
      <c r="O73" s="442"/>
      <c r="P73" s="443">
        <f t="shared" si="3"/>
        <v>1</v>
      </c>
      <c r="Q73" s="442"/>
    </row>
    <row r="74" spans="2:17" ht="12.75" customHeight="1">
      <c r="B74" s="647"/>
      <c r="C74" s="647"/>
      <c r="D74" s="663" t="s">
        <v>21</v>
      </c>
      <c r="E74" s="666" t="s">
        <v>22</v>
      </c>
      <c r="F74" s="663" t="s">
        <v>60</v>
      </c>
      <c r="G74" s="848">
        <f>+'Resolución 137-2019-OS_CD'!G203*Factores!$B$7</f>
        <v>0.6289830000000001</v>
      </c>
      <c r="H74" s="633"/>
      <c r="I74" s="630"/>
      <c r="J74" s="630"/>
      <c r="K74" s="630"/>
      <c r="L74" s="630"/>
      <c r="N74" s="443">
        <v>0.48</v>
      </c>
      <c r="O74" s="442"/>
      <c r="P74" s="443">
        <f t="shared" si="3"/>
        <v>1</v>
      </c>
      <c r="Q74" s="727">
        <f>+SUM(P69:P74)</f>
        <v>6</v>
      </c>
    </row>
    <row r="75" spans="2:12" ht="12.75">
      <c r="B75" s="733" t="s">
        <v>281</v>
      </c>
      <c r="C75" s="733"/>
      <c r="D75" s="733"/>
      <c r="E75" s="733"/>
      <c r="F75" s="733"/>
      <c r="G75" s="733"/>
      <c r="H75" s="733"/>
      <c r="I75" s="733"/>
      <c r="J75" s="733"/>
      <c r="K75" s="733"/>
      <c r="L75" s="733"/>
    </row>
    <row r="76" spans="2:12" ht="12.75">
      <c r="B76" s="733"/>
      <c r="C76" s="733"/>
      <c r="D76" s="733"/>
      <c r="E76" s="733"/>
      <c r="F76" s="733"/>
      <c r="G76" s="733"/>
      <c r="H76" s="733"/>
      <c r="I76" s="733"/>
      <c r="J76" s="733"/>
      <c r="K76" s="733"/>
      <c r="L76" s="733"/>
    </row>
    <row r="77" spans="2:12" ht="12.75">
      <c r="B77" s="733"/>
      <c r="C77" s="733"/>
      <c r="D77" s="733"/>
      <c r="E77" s="733"/>
      <c r="F77" s="733"/>
      <c r="G77" s="733"/>
      <c r="H77" s="733"/>
      <c r="I77" s="733"/>
      <c r="J77" s="733"/>
      <c r="K77" s="733"/>
      <c r="L77" s="733"/>
    </row>
    <row r="78" spans="2:12" ht="15.75">
      <c r="B78" s="632" t="s">
        <v>126</v>
      </c>
      <c r="C78" s="630"/>
      <c r="D78" s="733"/>
      <c r="E78" s="733"/>
      <c r="F78" s="733"/>
      <c r="G78" s="733"/>
      <c r="H78" s="733"/>
      <c r="I78" s="733"/>
      <c r="J78" s="733"/>
      <c r="K78" s="733"/>
      <c r="L78" s="733"/>
    </row>
    <row r="79" spans="2:12" ht="12.75">
      <c r="B79" s="733"/>
      <c r="C79" s="733"/>
      <c r="D79" s="633"/>
      <c r="E79" s="633"/>
      <c r="F79" s="633"/>
      <c r="G79" s="633"/>
      <c r="H79" s="633"/>
      <c r="I79" s="633"/>
      <c r="J79" s="633"/>
      <c r="K79" s="633"/>
      <c r="L79" s="633"/>
    </row>
    <row r="80" spans="2:12" ht="12.75" customHeight="1">
      <c r="B80" s="635" t="s">
        <v>6</v>
      </c>
      <c r="C80" s="635" t="s">
        <v>3</v>
      </c>
      <c r="D80" s="669" t="s">
        <v>4</v>
      </c>
      <c r="E80" s="635" t="s">
        <v>7</v>
      </c>
      <c r="F80" s="635" t="s">
        <v>49</v>
      </c>
      <c r="G80" s="669" t="s">
        <v>1</v>
      </c>
      <c r="H80" s="635" t="s">
        <v>2</v>
      </c>
      <c r="I80" s="630"/>
      <c r="J80" s="630"/>
      <c r="K80" s="630"/>
      <c r="L80" s="630"/>
    </row>
    <row r="81" spans="2:12" ht="12.75" customHeight="1">
      <c r="B81" s="658"/>
      <c r="C81" s="658"/>
      <c r="D81" s="670"/>
      <c r="E81" s="658" t="s">
        <v>86</v>
      </c>
      <c r="F81" s="658" t="s">
        <v>51</v>
      </c>
      <c r="G81" s="746" t="s">
        <v>280</v>
      </c>
      <c r="H81" s="659" t="s">
        <v>285</v>
      </c>
      <c r="I81" s="630"/>
      <c r="J81" s="630"/>
      <c r="K81" s="630"/>
      <c r="L81" s="630"/>
    </row>
    <row r="82" spans="2:18" ht="12.75">
      <c r="B82" s="640" t="s">
        <v>18</v>
      </c>
      <c r="C82" s="640" t="s">
        <v>16</v>
      </c>
      <c r="D82" s="687" t="s">
        <v>17</v>
      </c>
      <c r="E82" s="641" t="s">
        <v>19</v>
      </c>
      <c r="F82" s="642" t="s">
        <v>63</v>
      </c>
      <c r="G82" s="849">
        <f>'Resolución 137-2019-OS_CD'!G211*Factores!$B$7</f>
        <v>0.752313</v>
      </c>
      <c r="H82" s="849">
        <f>'Resolución 137-2019-OS_CD'!H211*Factores!$B$7</f>
        <v>0.875643</v>
      </c>
      <c r="I82" s="630"/>
      <c r="J82" s="630"/>
      <c r="K82" s="630"/>
      <c r="L82" s="630"/>
      <c r="N82" s="441">
        <v>0.51</v>
      </c>
      <c r="O82" s="441">
        <v>0.63</v>
      </c>
      <c r="Q82" s="441">
        <f aca="true" t="shared" si="4" ref="Q82:Q94">+IF(N82=G82,0,1)</f>
        <v>1</v>
      </c>
      <c r="R82" s="441">
        <f aca="true" t="shared" si="5" ref="R82:R94">+IF(O82=H82,0,1)</f>
        <v>1</v>
      </c>
    </row>
    <row r="83" spans="2:18" ht="12.75">
      <c r="B83" s="643"/>
      <c r="C83" s="643"/>
      <c r="D83" s="738"/>
      <c r="E83" s="645"/>
      <c r="F83" s="642" t="s">
        <v>60</v>
      </c>
      <c r="G83" s="849">
        <f>'Resolución 137-2019-OS_CD'!G212*Factores!$B$7</f>
        <v>0.542652</v>
      </c>
      <c r="H83" s="849">
        <f>'Resolución 137-2019-OS_CD'!H212*Factores!$B$7</f>
        <v>0.702981</v>
      </c>
      <c r="I83" s="630"/>
      <c r="J83" s="630"/>
      <c r="K83" s="630"/>
      <c r="L83" s="630"/>
      <c r="N83" s="441">
        <v>0.42</v>
      </c>
      <c r="O83" s="441">
        <v>0.51</v>
      </c>
      <c r="Q83" s="441">
        <f t="shared" si="4"/>
        <v>1</v>
      </c>
      <c r="R83" s="441">
        <f t="shared" si="5"/>
        <v>1</v>
      </c>
    </row>
    <row r="84" spans="2:18" ht="12.75">
      <c r="B84" s="643"/>
      <c r="C84" s="643"/>
      <c r="D84" s="738"/>
      <c r="E84" s="645"/>
      <c r="F84" s="642" t="s">
        <v>56</v>
      </c>
      <c r="G84" s="849">
        <f>'Resolución 137-2019-OS_CD'!G213*Factores!$B$7</f>
        <v>0.17266200000000004</v>
      </c>
      <c r="H84" s="849">
        <f>'Resolución 137-2019-OS_CD'!H213*Factores!$B$7</f>
        <v>0.295992</v>
      </c>
      <c r="I84" s="630"/>
      <c r="J84" s="630"/>
      <c r="K84" s="630"/>
      <c r="L84" s="630"/>
      <c r="N84" s="441">
        <v>0.12</v>
      </c>
      <c r="O84" s="441">
        <v>0.21</v>
      </c>
      <c r="Q84" s="441">
        <f t="shared" si="4"/>
        <v>1</v>
      </c>
      <c r="R84" s="441">
        <f t="shared" si="5"/>
        <v>1</v>
      </c>
    </row>
    <row r="85" spans="2:18" ht="12.75">
      <c r="B85" s="643"/>
      <c r="C85" s="643"/>
      <c r="D85" s="738"/>
      <c r="E85" s="645"/>
      <c r="F85" s="642" t="s">
        <v>272</v>
      </c>
      <c r="G85" s="849">
        <f>'Resolución 137-2019-OS_CD'!G214*Factores!$B$7</f>
        <v>0.9126420000000001</v>
      </c>
      <c r="H85" s="849">
        <f>'Resolución 137-2019-OS_CD'!H214*Factores!$B$7</f>
        <v>1.0359720000000001</v>
      </c>
      <c r="I85" s="630"/>
      <c r="J85" s="630"/>
      <c r="K85" s="630"/>
      <c r="L85" s="630"/>
      <c r="N85" s="441">
        <v>0.72</v>
      </c>
      <c r="O85" s="441">
        <v>0.81</v>
      </c>
      <c r="Q85" s="441">
        <f t="shared" si="4"/>
        <v>1</v>
      </c>
      <c r="R85" s="441">
        <f t="shared" si="5"/>
        <v>1</v>
      </c>
    </row>
    <row r="86" spans="2:18" ht="12.75">
      <c r="B86" s="643"/>
      <c r="C86" s="643"/>
      <c r="D86" s="739" t="s">
        <v>21</v>
      </c>
      <c r="E86" s="740" t="s">
        <v>22</v>
      </c>
      <c r="F86" s="642" t="s">
        <v>63</v>
      </c>
      <c r="G86" s="849">
        <f>'Resolución 137-2019-OS_CD'!G215*Factores!$B$7</f>
        <v>0.752313</v>
      </c>
      <c r="H86" s="849">
        <f>'Resolución 137-2019-OS_CD'!H215*Factores!$B$7</f>
        <v>0.875643</v>
      </c>
      <c r="I86" s="630"/>
      <c r="J86" s="630"/>
      <c r="K86" s="630"/>
      <c r="L86" s="630"/>
      <c r="N86" s="441">
        <v>0.54</v>
      </c>
      <c r="O86" s="441">
        <v>0.63</v>
      </c>
      <c r="Q86" s="441">
        <f t="shared" si="4"/>
        <v>1</v>
      </c>
      <c r="R86" s="441">
        <f t="shared" si="5"/>
        <v>1</v>
      </c>
    </row>
    <row r="87" spans="2:18" ht="12.75">
      <c r="B87" s="643"/>
      <c r="C87" s="643"/>
      <c r="D87" s="738"/>
      <c r="E87" s="645"/>
      <c r="F87" s="642" t="s">
        <v>60</v>
      </c>
      <c r="G87" s="849">
        <f>'Resolución 137-2019-OS_CD'!G216*Factores!$B$7</f>
        <v>0.542652</v>
      </c>
      <c r="H87" s="849">
        <f>'Resolución 137-2019-OS_CD'!H216*Factores!$B$7</f>
        <v>0.702981</v>
      </c>
      <c r="I87" s="630"/>
      <c r="J87" s="630"/>
      <c r="K87" s="630"/>
      <c r="L87" s="630"/>
      <c r="N87" s="441">
        <v>0.45</v>
      </c>
      <c r="O87" s="441">
        <v>0.54</v>
      </c>
      <c r="Q87" s="441">
        <f t="shared" si="4"/>
        <v>1</v>
      </c>
      <c r="R87" s="441">
        <f t="shared" si="5"/>
        <v>1</v>
      </c>
    </row>
    <row r="88" spans="2:18" ht="12.75">
      <c r="B88" s="643"/>
      <c r="C88" s="643"/>
      <c r="D88" s="738"/>
      <c r="E88" s="645"/>
      <c r="F88" s="642" t="s">
        <v>56</v>
      </c>
      <c r="G88" s="849">
        <f>'Resolución 137-2019-OS_CD'!G217*Factores!$B$7</f>
        <v>0.17266200000000004</v>
      </c>
      <c r="H88" s="849">
        <f>'Resolución 137-2019-OS_CD'!H217*Factores!$B$7</f>
        <v>0.295992</v>
      </c>
      <c r="I88" s="630"/>
      <c r="J88" s="630"/>
      <c r="K88" s="630"/>
      <c r="L88" s="630"/>
      <c r="N88" s="441">
        <v>0.12</v>
      </c>
      <c r="O88" s="441">
        <v>0.21</v>
      </c>
      <c r="Q88" s="441">
        <f t="shared" si="4"/>
        <v>1</v>
      </c>
      <c r="R88" s="441">
        <f t="shared" si="5"/>
        <v>1</v>
      </c>
    </row>
    <row r="89" spans="2:18" ht="12.75">
      <c r="B89" s="643"/>
      <c r="C89" s="643"/>
      <c r="D89" s="738"/>
      <c r="E89" s="645"/>
      <c r="F89" s="642" t="s">
        <v>272</v>
      </c>
      <c r="G89" s="849">
        <f>'Resolución 137-2019-OS_CD'!G218*Factores!$B$7</f>
        <v>0.9126420000000001</v>
      </c>
      <c r="H89" s="849">
        <f>'Resolución 137-2019-OS_CD'!H218*Factores!$B$7</f>
        <v>1.0359720000000001</v>
      </c>
      <c r="I89" s="630"/>
      <c r="J89" s="630"/>
      <c r="K89" s="630"/>
      <c r="L89" s="630"/>
      <c r="N89" s="441">
        <v>0.75</v>
      </c>
      <c r="O89" s="441">
        <v>0.84</v>
      </c>
      <c r="Q89" s="441">
        <f t="shared" si="4"/>
        <v>1</v>
      </c>
      <c r="R89" s="441">
        <f t="shared" si="5"/>
        <v>1</v>
      </c>
    </row>
    <row r="90" spans="2:18" ht="12.75">
      <c r="B90" s="643"/>
      <c r="C90" s="734" t="s">
        <v>23</v>
      </c>
      <c r="D90" s="741" t="s">
        <v>24</v>
      </c>
      <c r="E90" s="740" t="s">
        <v>25</v>
      </c>
      <c r="F90" s="642" t="s">
        <v>273</v>
      </c>
      <c r="G90" s="849">
        <f>'Resolución 137-2019-OS_CD'!G219*Factores!$B$8</f>
        <v>1.176812</v>
      </c>
      <c r="H90" s="849">
        <f>'Resolución 137-2019-OS_CD'!H219*Factores!$B$8</f>
        <v>1.35786</v>
      </c>
      <c r="I90" s="630"/>
      <c r="J90" s="630"/>
      <c r="K90" s="630"/>
      <c r="L90" s="630"/>
      <c r="N90" s="441">
        <v>0.84</v>
      </c>
      <c r="O90" s="441">
        <v>0.96</v>
      </c>
      <c r="Q90" s="441">
        <f t="shared" si="4"/>
        <v>1</v>
      </c>
      <c r="R90" s="441">
        <f t="shared" si="5"/>
        <v>1</v>
      </c>
    </row>
    <row r="91" spans="2:18" ht="12.75">
      <c r="B91" s="643"/>
      <c r="C91" s="640" t="s">
        <v>26</v>
      </c>
      <c r="D91" s="741" t="s">
        <v>27</v>
      </c>
      <c r="E91" s="740" t="s">
        <v>28</v>
      </c>
      <c r="F91" s="642" t="s">
        <v>272</v>
      </c>
      <c r="G91" s="849">
        <f>'Resolución 137-2019-OS_CD'!G220*Factores!$B$8</f>
        <v>1.2673359999999998</v>
      </c>
      <c r="H91" s="849">
        <f>'Resolución 137-2019-OS_CD'!H220*Factores!$B$8</f>
        <v>1.4871799999999997</v>
      </c>
      <c r="I91" s="630"/>
      <c r="J91" s="630"/>
      <c r="K91" s="630"/>
      <c r="L91" s="630"/>
      <c r="N91" s="441">
        <v>1.05</v>
      </c>
      <c r="O91" s="441">
        <v>1.05</v>
      </c>
      <c r="Q91" s="441">
        <f t="shared" si="4"/>
        <v>1</v>
      </c>
      <c r="R91" s="441">
        <f t="shared" si="5"/>
        <v>1</v>
      </c>
    </row>
    <row r="92" spans="2:18" ht="12.75">
      <c r="B92" s="643"/>
      <c r="C92" s="643"/>
      <c r="D92" s="741" t="s">
        <v>29</v>
      </c>
      <c r="E92" s="740" t="s">
        <v>30</v>
      </c>
      <c r="F92" s="642" t="s">
        <v>272</v>
      </c>
      <c r="G92" s="849"/>
      <c r="H92" s="849">
        <f>'Resolución 137-2019-OS_CD'!H221*Factores!$B$8</f>
        <v>1.9268679999999998</v>
      </c>
      <c r="I92" s="630"/>
      <c r="J92" s="630"/>
      <c r="K92" s="630"/>
      <c r="L92" s="630"/>
      <c r="O92" s="441">
        <v>1.32</v>
      </c>
      <c r="Q92" s="441">
        <f t="shared" si="4"/>
        <v>0</v>
      </c>
      <c r="R92" s="441">
        <f t="shared" si="5"/>
        <v>1</v>
      </c>
    </row>
    <row r="93" spans="2:18" ht="12.75">
      <c r="B93" s="643"/>
      <c r="C93" s="643"/>
      <c r="D93" s="741" t="s">
        <v>31</v>
      </c>
      <c r="E93" s="740" t="s">
        <v>32</v>
      </c>
      <c r="F93" s="642" t="s">
        <v>272</v>
      </c>
      <c r="G93" s="849"/>
      <c r="H93" s="849">
        <f>'Resolución 137-2019-OS_CD'!H222*Factores!$B$8</f>
        <v>2.6251959999999994</v>
      </c>
      <c r="I93" s="630"/>
      <c r="J93" s="630"/>
      <c r="K93" s="630"/>
      <c r="L93" s="630"/>
      <c r="O93" s="441">
        <v>1.79</v>
      </c>
      <c r="Q93" s="441">
        <f t="shared" si="4"/>
        <v>0</v>
      </c>
      <c r="R93" s="441">
        <f t="shared" si="5"/>
        <v>1</v>
      </c>
    </row>
    <row r="94" spans="2:19" ht="12.75">
      <c r="B94" s="647"/>
      <c r="C94" s="647"/>
      <c r="D94" s="742" t="s">
        <v>33</v>
      </c>
      <c r="E94" s="743" t="s">
        <v>34</v>
      </c>
      <c r="F94" s="642" t="s">
        <v>272</v>
      </c>
      <c r="G94" s="849"/>
      <c r="H94" s="849">
        <f>'Resolución 137-2019-OS_CD'!H223*Factores!$B$8</f>
        <v>2.8838359999999996</v>
      </c>
      <c r="I94" s="630"/>
      <c r="J94" s="630"/>
      <c r="K94" s="630"/>
      <c r="L94" s="630"/>
      <c r="O94" s="441">
        <v>1.97</v>
      </c>
      <c r="Q94" s="441">
        <f t="shared" si="4"/>
        <v>0</v>
      </c>
      <c r="R94" s="441">
        <f t="shared" si="5"/>
        <v>1</v>
      </c>
      <c r="S94" s="728">
        <f>+SUM(Q82:R94)</f>
        <v>23</v>
      </c>
    </row>
    <row r="95" spans="2:12" ht="12.75">
      <c r="B95" s="747" t="s">
        <v>283</v>
      </c>
      <c r="C95" s="644"/>
      <c r="D95" s="644"/>
      <c r="E95" s="748"/>
      <c r="F95" s="689"/>
      <c r="G95" s="749"/>
      <c r="H95" s="749"/>
      <c r="I95" s="630"/>
      <c r="J95" s="630"/>
      <c r="K95" s="630"/>
      <c r="L95" s="630"/>
    </row>
    <row r="96" spans="2:12" ht="12.75">
      <c r="B96" s="747" t="s">
        <v>284</v>
      </c>
      <c r="C96" s="644"/>
      <c r="D96" s="644"/>
      <c r="E96" s="748"/>
      <c r="F96" s="689"/>
      <c r="G96" s="749"/>
      <c r="H96" s="749"/>
      <c r="I96" s="630"/>
      <c r="J96" s="630"/>
      <c r="K96" s="630"/>
      <c r="L96" s="630"/>
    </row>
    <row r="97" spans="2:12" ht="12.75">
      <c r="B97" s="644"/>
      <c r="C97" s="644"/>
      <c r="D97" s="644"/>
      <c r="E97" s="748"/>
      <c r="F97" s="689"/>
      <c r="G97" s="749"/>
      <c r="H97" s="749"/>
      <c r="I97" s="630"/>
      <c r="J97" s="630"/>
      <c r="K97" s="630"/>
      <c r="L97" s="630"/>
    </row>
    <row r="98" spans="2:12" ht="15.75">
      <c r="B98" s="632" t="s">
        <v>153</v>
      </c>
      <c r="C98" s="630"/>
      <c r="D98" s="633"/>
      <c r="E98" s="633"/>
      <c r="F98" s="633"/>
      <c r="G98" s="633"/>
      <c r="H98" s="633"/>
      <c r="I98" s="633"/>
      <c r="J98" s="633"/>
      <c r="K98" s="633"/>
      <c r="L98" s="633"/>
    </row>
    <row r="99" spans="2:12" ht="12.75">
      <c r="B99" s="633"/>
      <c r="C99" s="633"/>
      <c r="D99" s="633"/>
      <c r="E99" s="633"/>
      <c r="F99" s="633"/>
      <c r="G99" s="633"/>
      <c r="H99" s="633"/>
      <c r="I99" s="633"/>
      <c r="J99" s="633"/>
      <c r="K99" s="633"/>
      <c r="L99" s="633"/>
    </row>
    <row r="100" spans="2:12" ht="12.75" customHeight="1">
      <c r="B100" s="633"/>
      <c r="C100" s="633"/>
      <c r="D100" s="633"/>
      <c r="E100" s="633"/>
      <c r="F100" s="633"/>
      <c r="G100" s="633"/>
      <c r="H100" s="633"/>
      <c r="I100" s="633"/>
      <c r="J100" s="733"/>
      <c r="K100" s="633"/>
      <c r="L100" s="633"/>
    </row>
    <row r="101" spans="2:12" ht="12.75">
      <c r="B101" s="635" t="s">
        <v>6</v>
      </c>
      <c r="C101" s="635" t="s">
        <v>3</v>
      </c>
      <c r="D101" s="635" t="s">
        <v>4</v>
      </c>
      <c r="E101" s="635" t="s">
        <v>7</v>
      </c>
      <c r="F101" s="635" t="s">
        <v>49</v>
      </c>
      <c r="G101" s="635" t="s">
        <v>296</v>
      </c>
      <c r="H101" s="633"/>
      <c r="I101" s="633"/>
      <c r="J101" s="733"/>
      <c r="K101" s="633"/>
      <c r="L101" s="633"/>
    </row>
    <row r="102" spans="2:12" ht="12.75">
      <c r="B102" s="658"/>
      <c r="C102" s="658"/>
      <c r="D102" s="658"/>
      <c r="E102" s="658" t="s">
        <v>86</v>
      </c>
      <c r="F102" s="658" t="s">
        <v>51</v>
      </c>
      <c r="G102" s="658"/>
      <c r="H102" s="633"/>
      <c r="I102" s="633"/>
      <c r="J102" s="733"/>
      <c r="K102" s="633"/>
      <c r="L102" s="633"/>
    </row>
    <row r="103" spans="2:16" ht="12.75">
      <c r="B103" s="640" t="s">
        <v>18</v>
      </c>
      <c r="C103" s="640" t="s">
        <v>16</v>
      </c>
      <c r="D103" s="663" t="s">
        <v>17</v>
      </c>
      <c r="E103" s="664" t="s">
        <v>19</v>
      </c>
      <c r="F103" s="663" t="s">
        <v>60</v>
      </c>
      <c r="G103" s="848">
        <f>'Resolución 137-2019-OS_CD'!G234*Factores!$B$7</f>
        <v>0.579651</v>
      </c>
      <c r="H103" s="633"/>
      <c r="I103" s="633"/>
      <c r="J103" s="630"/>
      <c r="K103" s="630"/>
      <c r="L103" s="630"/>
      <c r="N103" s="442">
        <v>0.45</v>
      </c>
      <c r="O103" s="443">
        <f>+IF(N103=G103,0,1)</f>
        <v>1</v>
      </c>
      <c r="P103" s="443"/>
    </row>
    <row r="104" spans="2:16" ht="12.75">
      <c r="B104" s="647"/>
      <c r="C104" s="647"/>
      <c r="D104" s="663" t="s">
        <v>21</v>
      </c>
      <c r="E104" s="666" t="s">
        <v>22</v>
      </c>
      <c r="F104" s="663" t="s">
        <v>60</v>
      </c>
      <c r="G104" s="848">
        <f>'Resolución 137-2019-OS_CD'!G235*Factores!$B$7</f>
        <v>0.6289830000000001</v>
      </c>
      <c r="H104" s="633"/>
      <c r="I104" s="633"/>
      <c r="J104" s="630"/>
      <c r="K104" s="630"/>
      <c r="L104" s="630"/>
      <c r="N104" s="442">
        <v>0.51</v>
      </c>
      <c r="O104" s="443">
        <f>+IF(N104=G104,0,1)</f>
        <v>1</v>
      </c>
      <c r="P104" s="729">
        <f>+SUM(O103:O104)</f>
        <v>2</v>
      </c>
    </row>
    <row r="105" spans="2:12" ht="12.75">
      <c r="B105" s="630" t="s">
        <v>281</v>
      </c>
      <c r="C105" s="630"/>
      <c r="D105" s="630"/>
      <c r="E105" s="630"/>
      <c r="F105" s="630"/>
      <c r="G105" s="633"/>
      <c r="H105" s="633"/>
      <c r="I105" s="633"/>
      <c r="J105" s="630"/>
      <c r="K105" s="630"/>
      <c r="L105" s="630"/>
    </row>
    <row r="106" spans="2:12" ht="12.75">
      <c r="B106" s="630"/>
      <c r="C106" s="630"/>
      <c r="D106" s="630"/>
      <c r="E106" s="630"/>
      <c r="F106" s="630"/>
      <c r="G106" s="633"/>
      <c r="H106" s="633"/>
      <c r="I106" s="633"/>
      <c r="J106" s="630"/>
      <c r="K106" s="630"/>
      <c r="L106" s="630"/>
    </row>
    <row r="107" spans="2:12" ht="12.75">
      <c r="B107" s="630"/>
      <c r="C107" s="630"/>
      <c r="D107" s="630"/>
      <c r="E107" s="630"/>
      <c r="F107" s="630"/>
      <c r="G107" s="630"/>
      <c r="H107" s="630"/>
      <c r="I107" s="630"/>
      <c r="J107" s="630"/>
      <c r="K107" s="630"/>
      <c r="L107" s="630"/>
    </row>
    <row r="108" spans="2:12" ht="15.75">
      <c r="B108" s="632" t="s">
        <v>127</v>
      </c>
      <c r="C108" s="750"/>
      <c r="D108" s="750"/>
      <c r="E108" s="750"/>
      <c r="F108" s="750"/>
      <c r="G108" s="750"/>
      <c r="H108" s="750"/>
      <c r="I108" s="630"/>
      <c r="J108" s="630"/>
      <c r="K108" s="630"/>
      <c r="L108" s="630"/>
    </row>
    <row r="109" spans="2:12" ht="12.75">
      <c r="B109" s="750"/>
      <c r="C109" s="750"/>
      <c r="D109" s="633"/>
      <c r="E109" s="633"/>
      <c r="F109" s="633"/>
      <c r="G109" s="633"/>
      <c r="H109" s="633"/>
      <c r="I109" s="630"/>
      <c r="J109" s="630"/>
      <c r="K109" s="630"/>
      <c r="L109" s="630"/>
    </row>
    <row r="110" spans="2:12" ht="12.75">
      <c r="B110" s="635" t="s">
        <v>6</v>
      </c>
      <c r="C110" s="635" t="s">
        <v>3</v>
      </c>
      <c r="D110" s="669" t="s">
        <v>4</v>
      </c>
      <c r="E110" s="635" t="s">
        <v>7</v>
      </c>
      <c r="F110" s="635" t="s">
        <v>49</v>
      </c>
      <c r="G110" s="669" t="s">
        <v>1</v>
      </c>
      <c r="H110" s="635" t="s">
        <v>2</v>
      </c>
      <c r="I110" s="630"/>
      <c r="J110" s="630"/>
      <c r="K110" s="630"/>
      <c r="L110" s="630"/>
    </row>
    <row r="111" spans="2:12" ht="12.75">
      <c r="B111" s="658"/>
      <c r="C111" s="658"/>
      <c r="D111" s="670"/>
      <c r="E111" s="658" t="s">
        <v>86</v>
      </c>
      <c r="F111" s="658" t="s">
        <v>51</v>
      </c>
      <c r="G111" s="671" t="s">
        <v>274</v>
      </c>
      <c r="H111" s="639" t="s">
        <v>275</v>
      </c>
      <c r="I111" s="630"/>
      <c r="J111" s="630"/>
      <c r="K111" s="630"/>
      <c r="L111" s="630"/>
    </row>
    <row r="112" spans="2:18" ht="12.75">
      <c r="B112" s="640" t="s">
        <v>11</v>
      </c>
      <c r="C112" s="672" t="s">
        <v>9</v>
      </c>
      <c r="D112" s="673" t="s">
        <v>10</v>
      </c>
      <c r="E112" s="641" t="s">
        <v>12</v>
      </c>
      <c r="F112" s="642" t="s">
        <v>149</v>
      </c>
      <c r="G112" s="849">
        <f>'Resolución 137-2019-OS_CD'!G243*Factores!$B$7</f>
        <v>1.0359720000000001</v>
      </c>
      <c r="H112" s="849">
        <f>'Resolución 137-2019-OS_CD'!H243*Factores!$B$7</f>
        <v>1.171635</v>
      </c>
      <c r="I112" s="630"/>
      <c r="J112" s="630"/>
      <c r="K112" s="630"/>
      <c r="L112" s="630"/>
      <c r="N112" s="441">
        <v>0.78</v>
      </c>
      <c r="O112" s="441">
        <v>0.87</v>
      </c>
      <c r="Q112" s="441">
        <f aca="true" t="shared" si="6" ref="Q112:R117">+IF(N112=G112,0,1)</f>
        <v>1</v>
      </c>
      <c r="R112" s="441">
        <f t="shared" si="6"/>
        <v>1</v>
      </c>
    </row>
    <row r="113" spans="2:18" ht="12.75">
      <c r="B113" s="643"/>
      <c r="C113" s="674"/>
      <c r="D113" s="675"/>
      <c r="E113" s="645"/>
      <c r="F113" s="642" t="s">
        <v>288</v>
      </c>
      <c r="G113" s="849">
        <f>'Resolución 137-2019-OS_CD'!G244*Factores!$B$7</f>
        <v>1.0359720000000001</v>
      </c>
      <c r="H113" s="849"/>
      <c r="I113" s="630"/>
      <c r="J113" s="630"/>
      <c r="K113" s="630"/>
      <c r="L113" s="630"/>
      <c r="N113" s="441">
        <v>0.81</v>
      </c>
      <c r="Q113" s="441">
        <f t="shared" si="6"/>
        <v>1</v>
      </c>
      <c r="R113" s="441">
        <f t="shared" si="6"/>
        <v>0</v>
      </c>
    </row>
    <row r="114" spans="2:18" ht="12.75">
      <c r="B114" s="643"/>
      <c r="C114" s="674"/>
      <c r="D114" s="675"/>
      <c r="E114" s="645"/>
      <c r="F114" s="642" t="s">
        <v>150</v>
      </c>
      <c r="G114" s="849">
        <f>'Resolución 137-2019-OS_CD'!G245*Factores!$B$7</f>
        <v>1.6279560000000002</v>
      </c>
      <c r="H114" s="849">
        <f>'Resolución 137-2019-OS_CD'!H245*Factores!$B$7</f>
        <v>1.6649550000000002</v>
      </c>
      <c r="I114" s="630"/>
      <c r="J114" s="630"/>
      <c r="K114" s="630"/>
      <c r="L114" s="630"/>
      <c r="N114" s="441">
        <v>1.26</v>
      </c>
      <c r="O114" s="441">
        <v>1.29</v>
      </c>
      <c r="Q114" s="441">
        <f t="shared" si="6"/>
        <v>1</v>
      </c>
      <c r="R114" s="441">
        <f t="shared" si="6"/>
        <v>1</v>
      </c>
    </row>
    <row r="115" spans="2:18" ht="12.75">
      <c r="B115" s="643"/>
      <c r="C115" s="674"/>
      <c r="D115" s="675"/>
      <c r="E115" s="645"/>
      <c r="F115" s="642" t="s">
        <v>289</v>
      </c>
      <c r="G115" s="849">
        <f>'Resolución 137-2019-OS_CD'!G246*Factores!$B$7</f>
        <v>1.6649550000000002</v>
      </c>
      <c r="H115" s="849"/>
      <c r="I115" s="630"/>
      <c r="J115" s="630"/>
      <c r="K115" s="630"/>
      <c r="L115" s="630"/>
      <c r="N115" s="441">
        <v>1.29</v>
      </c>
      <c r="Q115" s="441">
        <f t="shared" si="6"/>
        <v>1</v>
      </c>
      <c r="R115" s="441">
        <f t="shared" si="6"/>
        <v>0</v>
      </c>
    </row>
    <row r="116" spans="2:18" ht="12.75">
      <c r="B116" s="643"/>
      <c r="C116" s="674"/>
      <c r="D116" s="673" t="s">
        <v>14</v>
      </c>
      <c r="E116" s="641" t="s">
        <v>15</v>
      </c>
      <c r="F116" s="642" t="s">
        <v>149</v>
      </c>
      <c r="G116" s="849">
        <f>'Resolución 137-2019-OS_CD'!G247*Factores!$B$7</f>
        <v>1.0359720000000001</v>
      </c>
      <c r="H116" s="849">
        <f>'Resolución 137-2019-OS_CD'!H247*Factores!$B$7</f>
        <v>1.171635</v>
      </c>
      <c r="I116" s="630"/>
      <c r="J116" s="630"/>
      <c r="K116" s="630"/>
      <c r="L116" s="630"/>
      <c r="N116" s="441">
        <v>0.81</v>
      </c>
      <c r="O116" s="441">
        <v>0.87</v>
      </c>
      <c r="Q116" s="441">
        <f t="shared" si="6"/>
        <v>1</v>
      </c>
      <c r="R116" s="441">
        <f t="shared" si="6"/>
        <v>1</v>
      </c>
    </row>
    <row r="117" spans="2:19" ht="12.75">
      <c r="B117" s="647"/>
      <c r="C117" s="676"/>
      <c r="D117" s="677"/>
      <c r="E117" s="662"/>
      <c r="F117" s="642" t="s">
        <v>150</v>
      </c>
      <c r="G117" s="849">
        <f>'Resolución 137-2019-OS_CD'!G248*Factores!$B$7</f>
        <v>1.6279560000000002</v>
      </c>
      <c r="H117" s="849">
        <f>'Resolución 137-2019-OS_CD'!H248*Factores!$B$7</f>
        <v>1.6649550000000002</v>
      </c>
      <c r="I117" s="630"/>
      <c r="J117" s="630"/>
      <c r="K117" s="630"/>
      <c r="L117" s="630"/>
      <c r="N117" s="441">
        <v>1.29</v>
      </c>
      <c r="O117" s="441">
        <v>1.29</v>
      </c>
      <c r="Q117" s="441">
        <f t="shared" si="6"/>
        <v>1</v>
      </c>
      <c r="R117" s="441">
        <f t="shared" si="6"/>
        <v>1</v>
      </c>
      <c r="S117" s="725">
        <f>+SUM(Q112:R117)</f>
        <v>10</v>
      </c>
    </row>
    <row r="118" spans="2:12" ht="12.75">
      <c r="B118" s="750" t="s">
        <v>276</v>
      </c>
      <c r="C118" s="750"/>
      <c r="D118" s="750"/>
      <c r="E118" s="750"/>
      <c r="F118" s="750"/>
      <c r="G118" s="750"/>
      <c r="H118" s="750"/>
      <c r="I118" s="630"/>
      <c r="J118" s="630"/>
      <c r="K118" s="630"/>
      <c r="L118" s="630"/>
    </row>
    <row r="119" spans="2:12" ht="12.75">
      <c r="B119" s="633" t="s">
        <v>277</v>
      </c>
      <c r="C119" s="750"/>
      <c r="D119" s="633"/>
      <c r="E119" s="633"/>
      <c r="F119" s="633"/>
      <c r="G119" s="633"/>
      <c r="H119" s="750"/>
      <c r="I119" s="630"/>
      <c r="J119" s="630"/>
      <c r="K119" s="630"/>
      <c r="L119" s="630"/>
    </row>
    <row r="120" spans="2:12" ht="12.75">
      <c r="B120" s="630" t="s">
        <v>278</v>
      </c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</row>
    <row r="121" spans="2:12" ht="12.75">
      <c r="B121" s="630"/>
      <c r="C121" s="630"/>
      <c r="D121" s="630"/>
      <c r="E121" s="630"/>
      <c r="F121" s="630"/>
      <c r="G121" s="630"/>
      <c r="H121" s="630"/>
      <c r="I121" s="630"/>
      <c r="J121" s="630"/>
      <c r="K121" s="630"/>
      <c r="L121" s="630"/>
    </row>
    <row r="122" spans="2:12" ht="12.75">
      <c r="B122" s="630"/>
      <c r="C122" s="630"/>
      <c r="D122" s="630"/>
      <c r="E122" s="630"/>
      <c r="F122" s="630"/>
      <c r="G122" s="630"/>
      <c r="H122" s="630"/>
      <c r="I122" s="630"/>
      <c r="J122" s="630"/>
      <c r="K122" s="630"/>
      <c r="L122" s="630"/>
    </row>
    <row r="123" spans="2:12" ht="15.75">
      <c r="B123" s="632" t="s">
        <v>297</v>
      </c>
      <c r="C123" s="630"/>
      <c r="D123" s="633"/>
      <c r="E123" s="633"/>
      <c r="F123" s="633"/>
      <c r="G123" s="633"/>
      <c r="H123" s="633"/>
      <c r="I123" s="633"/>
      <c r="J123" s="633"/>
      <c r="K123" s="633"/>
      <c r="L123" s="633"/>
    </row>
    <row r="124" spans="2:12" ht="12.75">
      <c r="B124" s="633"/>
      <c r="C124" s="633"/>
      <c r="D124" s="633"/>
      <c r="E124" s="633"/>
      <c r="F124" s="633"/>
      <c r="G124" s="633"/>
      <c r="H124" s="633"/>
      <c r="I124" s="633"/>
      <c r="J124" s="633"/>
      <c r="K124" s="633"/>
      <c r="L124" s="633"/>
    </row>
    <row r="125" spans="2:12" ht="12.75">
      <c r="B125" s="633"/>
      <c r="C125" s="633"/>
      <c r="D125" s="633"/>
      <c r="E125" s="633"/>
      <c r="F125" s="633"/>
      <c r="G125" s="680" t="s">
        <v>98</v>
      </c>
      <c r="H125" s="681"/>
      <c r="I125" s="682" t="s">
        <v>99</v>
      </c>
      <c r="J125" s="681"/>
      <c r="K125" s="682" t="s">
        <v>245</v>
      </c>
      <c r="L125" s="681"/>
    </row>
    <row r="126" spans="2:12" ht="12.75">
      <c r="B126" s="635" t="s">
        <v>6</v>
      </c>
      <c r="C126" s="635" t="s">
        <v>3</v>
      </c>
      <c r="D126" s="669" t="s">
        <v>4</v>
      </c>
      <c r="E126" s="636" t="s">
        <v>7</v>
      </c>
      <c r="F126" s="669" t="s">
        <v>49</v>
      </c>
      <c r="G126" s="635" t="s">
        <v>35</v>
      </c>
      <c r="H126" s="635" t="s">
        <v>36</v>
      </c>
      <c r="I126" s="635" t="s">
        <v>35</v>
      </c>
      <c r="J126" s="635" t="s">
        <v>36</v>
      </c>
      <c r="K126" s="635" t="s">
        <v>35</v>
      </c>
      <c r="L126" s="635" t="s">
        <v>36</v>
      </c>
    </row>
    <row r="127" spans="2:12" ht="12.75">
      <c r="B127" s="751"/>
      <c r="C127" s="752"/>
      <c r="D127" s="753"/>
      <c r="E127" s="754" t="s">
        <v>86</v>
      </c>
      <c r="F127" s="755" t="s">
        <v>51</v>
      </c>
      <c r="G127" s="861"/>
      <c r="H127" s="861"/>
      <c r="I127" s="861"/>
      <c r="J127" s="861"/>
      <c r="K127" s="861"/>
      <c r="L127" s="861"/>
    </row>
    <row r="128" spans="2:25" ht="12.75">
      <c r="B128" s="640" t="s">
        <v>18</v>
      </c>
      <c r="C128" s="640" t="s">
        <v>37</v>
      </c>
      <c r="D128" s="756" t="s">
        <v>38</v>
      </c>
      <c r="E128" s="641" t="s">
        <v>39</v>
      </c>
      <c r="F128" s="660" t="s">
        <v>291</v>
      </c>
      <c r="G128" s="849">
        <f>'Resolución 137-2019-OS_CD'!G259*Factores!$B$9</f>
        <v>6.978465</v>
      </c>
      <c r="H128" s="849">
        <f>'Resolución 137-2019-OS_CD'!H259*Factores!$B$9</f>
        <v>15.638919</v>
      </c>
      <c r="I128" s="849">
        <f>'Resolución 137-2019-OS_CD'!I259*Factores!$B$9</f>
        <v>7.777708</v>
      </c>
      <c r="J128" s="849">
        <f>'Resolución 137-2019-OS_CD'!J259*Factores!$B$9</f>
        <v>17.977003</v>
      </c>
      <c r="K128" s="849">
        <f>'Resolución 137-2019-OS_CD'!K259*Factores!$B$9</f>
        <v>8.541164</v>
      </c>
      <c r="L128" s="849">
        <f>'Resolución 137-2019-OS_CD'!L259*Factores!$B$9</f>
        <v>19.957217</v>
      </c>
      <c r="N128" s="441">
        <v>5.35</v>
      </c>
      <c r="O128" s="441">
        <v>11.45</v>
      </c>
      <c r="P128" s="441">
        <v>5.65</v>
      </c>
      <c r="Q128" s="441">
        <v>13.12</v>
      </c>
      <c r="R128" s="441">
        <v>6.13</v>
      </c>
      <c r="S128" s="441">
        <v>14.65</v>
      </c>
      <c r="U128" s="441">
        <f>+IF(N128=G128,0,1)</f>
        <v>1</v>
      </c>
      <c r="V128" s="441">
        <f aca="true" t="shared" si="7" ref="V128:Y132">+IF(O128=H128,0,1)</f>
        <v>1</v>
      </c>
      <c r="W128" s="441">
        <f t="shared" si="7"/>
        <v>1</v>
      </c>
      <c r="X128" s="441">
        <f t="shared" si="7"/>
        <v>1</v>
      </c>
      <c r="Y128" s="441">
        <f t="shared" si="7"/>
        <v>1</v>
      </c>
    </row>
    <row r="129" spans="2:25" ht="12.75">
      <c r="B129" s="643"/>
      <c r="C129" s="643"/>
      <c r="D129" s="756" t="s">
        <v>41</v>
      </c>
      <c r="E129" s="641" t="s">
        <v>42</v>
      </c>
      <c r="F129" s="660" t="s">
        <v>291</v>
      </c>
      <c r="G129" s="849">
        <f>'Resolución 137-2019-OS_CD'!G260*Factores!$B$9</f>
        <v>8.302584000000001</v>
      </c>
      <c r="H129" s="849">
        <f>'Resolución 137-2019-OS_CD'!H260*Factores!$B$9</f>
        <v>14.958966</v>
      </c>
      <c r="I129" s="849">
        <f>'Resolución 137-2019-OS_CD'!I260*Factores!$B$9</f>
        <v>7.825424</v>
      </c>
      <c r="J129" s="849">
        <f>'Resolución 137-2019-OS_CD'!J260*Factores!$B$9</f>
        <v>17.094257000000002</v>
      </c>
      <c r="K129" s="849">
        <f>'Resolución 137-2019-OS_CD'!K260*Factores!$B$9</f>
        <v>8.541164</v>
      </c>
      <c r="L129" s="849">
        <f>'Resolución 137-2019-OS_CD'!L260*Factores!$B$9</f>
        <v>19.957217</v>
      </c>
      <c r="N129" s="441">
        <v>5.62</v>
      </c>
      <c r="O129" s="441">
        <v>10.97</v>
      </c>
      <c r="P129" s="441">
        <v>5.65</v>
      </c>
      <c r="Q129" s="441">
        <v>12.52</v>
      </c>
      <c r="R129" s="441">
        <v>6.13</v>
      </c>
      <c r="S129" s="441">
        <v>14.65</v>
      </c>
      <c r="U129" s="441">
        <f>+IF(N129=G129,0,1)</f>
        <v>1</v>
      </c>
      <c r="V129" s="441">
        <f t="shared" si="7"/>
        <v>1</v>
      </c>
      <c r="W129" s="441">
        <f t="shared" si="7"/>
        <v>1</v>
      </c>
      <c r="X129" s="441">
        <f t="shared" si="7"/>
        <v>1</v>
      </c>
      <c r="Y129" s="441">
        <f t="shared" si="7"/>
        <v>1</v>
      </c>
    </row>
    <row r="130" spans="2:25" ht="12.75">
      <c r="B130" s="643"/>
      <c r="C130" s="643"/>
      <c r="D130" s="756" t="s">
        <v>43</v>
      </c>
      <c r="E130" s="641" t="s">
        <v>44</v>
      </c>
      <c r="F130" s="660" t="s">
        <v>291</v>
      </c>
      <c r="G130" s="849">
        <f>'Resolución 137-2019-OS_CD'!G261*Factores!$B$9</f>
        <v>7.777708</v>
      </c>
      <c r="H130" s="849">
        <f>'Resolución 137-2019-OS_CD'!H261*Factores!$B$9</f>
        <v>14.708457000000001</v>
      </c>
      <c r="I130" s="849">
        <f>'Resolución 137-2019-OS_CD'!I261*Factores!$B$9</f>
        <v>7.944714</v>
      </c>
      <c r="J130" s="849">
        <f>'Resolución 137-2019-OS_CD'!J261*Factores!$B$9</f>
        <v>16.772174000000003</v>
      </c>
      <c r="K130" s="849">
        <f>'Resolución 137-2019-OS_CD'!K261*Factores!$B$9</f>
        <v>8.82746</v>
      </c>
      <c r="L130" s="849">
        <f>'Resolución 137-2019-OS_CD'!L261*Factores!$B$9</f>
        <v>20.995040000000003</v>
      </c>
      <c r="N130" s="441">
        <v>5.59</v>
      </c>
      <c r="O130" s="441">
        <v>10.79</v>
      </c>
      <c r="P130" s="441">
        <v>5.74</v>
      </c>
      <c r="Q130" s="441">
        <v>12.28</v>
      </c>
      <c r="R130" s="441">
        <v>6.28</v>
      </c>
      <c r="S130" s="441">
        <v>15.36</v>
      </c>
      <c r="U130" s="441">
        <f>+IF(N130=G130,0,1)</f>
        <v>1</v>
      </c>
      <c r="V130" s="441">
        <f t="shared" si="7"/>
        <v>1</v>
      </c>
      <c r="W130" s="441">
        <f t="shared" si="7"/>
        <v>1</v>
      </c>
      <c r="X130" s="441">
        <f t="shared" si="7"/>
        <v>1</v>
      </c>
      <c r="Y130" s="441">
        <f t="shared" si="7"/>
        <v>1</v>
      </c>
    </row>
    <row r="131" spans="2:25" ht="12.75">
      <c r="B131" s="643"/>
      <c r="C131" s="643"/>
      <c r="D131" s="756" t="s">
        <v>45</v>
      </c>
      <c r="E131" s="641" t="s">
        <v>46</v>
      </c>
      <c r="F131" s="660" t="s">
        <v>291</v>
      </c>
      <c r="G131" s="849">
        <f>'Resolución 137-2019-OS_CD'!G262*Factores!$B$9</f>
        <v>7.896998000000001</v>
      </c>
      <c r="H131" s="849">
        <f>'Resolución 137-2019-OS_CD'!H262*Factores!$B$9</f>
        <v>14.434090000000001</v>
      </c>
      <c r="I131" s="849">
        <f>'Resolución 137-2019-OS_CD'!I262*Factores!$B$9</f>
        <v>7.944714</v>
      </c>
      <c r="J131" s="849">
        <f>'Resolución 137-2019-OS_CD'!J262*Factores!$B$9</f>
        <v>16.772174000000003</v>
      </c>
      <c r="K131" s="849">
        <f>'Resolución 137-2019-OS_CD'!K262*Factores!$B$9</f>
        <v>8.94675</v>
      </c>
      <c r="L131" s="849">
        <f>'Resolución 137-2019-OS_CD'!L262*Factores!$B$9</f>
        <v>20.75646</v>
      </c>
      <c r="N131" s="441">
        <v>5.68</v>
      </c>
      <c r="O131" s="441">
        <v>10.58</v>
      </c>
      <c r="P131" s="441">
        <v>5.74</v>
      </c>
      <c r="Q131" s="441">
        <v>12.28</v>
      </c>
      <c r="R131" s="441">
        <v>6.34</v>
      </c>
      <c r="S131" s="441">
        <v>15.18</v>
      </c>
      <c r="U131" s="441">
        <f>+IF(N131=G131,0,1)</f>
        <v>1</v>
      </c>
      <c r="V131" s="441">
        <f t="shared" si="7"/>
        <v>1</v>
      </c>
      <c r="W131" s="441">
        <f t="shared" si="7"/>
        <v>1</v>
      </c>
      <c r="X131" s="441">
        <f t="shared" si="7"/>
        <v>1</v>
      </c>
      <c r="Y131" s="441">
        <f t="shared" si="7"/>
        <v>1</v>
      </c>
    </row>
    <row r="132" spans="2:26" ht="12.75">
      <c r="B132" s="647"/>
      <c r="C132" s="751"/>
      <c r="D132" s="757" t="s">
        <v>177</v>
      </c>
      <c r="E132" s="666" t="s">
        <v>176</v>
      </c>
      <c r="F132" s="660" t="s">
        <v>291</v>
      </c>
      <c r="G132" s="849">
        <f>'Resolución 137-2019-OS_CD'!G263*Factores!$B$9</f>
        <v>8.994466000000001</v>
      </c>
      <c r="H132" s="849">
        <f>'Resolución 137-2019-OS_CD'!H263*Factores!$B$9</f>
        <v>14.672670000000002</v>
      </c>
      <c r="I132" s="849">
        <f>'Resolución 137-2019-OS_CD'!I263*Factores!$B$9</f>
        <v>8.386087000000002</v>
      </c>
      <c r="J132" s="849">
        <f>'Resolución 137-2019-OS_CD'!J263*Factores!$B$9</f>
        <v>16.652884</v>
      </c>
      <c r="K132" s="849">
        <f>'Resolución 137-2019-OS_CD'!K263*Factores!$B$9</f>
        <v>9.471626</v>
      </c>
      <c r="L132" s="849">
        <f>'Resolución 137-2019-OS_CD'!L263*Factores!$B$9</f>
        <v>20.076507</v>
      </c>
      <c r="N132" s="441">
        <v>6.34</v>
      </c>
      <c r="O132" s="441">
        <v>10.76</v>
      </c>
      <c r="P132" s="441">
        <v>6.01</v>
      </c>
      <c r="Q132" s="441">
        <v>12.2</v>
      </c>
      <c r="R132" s="441">
        <v>6.7</v>
      </c>
      <c r="S132" s="441">
        <v>14.74</v>
      </c>
      <c r="U132" s="441">
        <f>+IF(N132=G132,0,1)</f>
        <v>1</v>
      </c>
      <c r="V132" s="441">
        <f t="shared" si="7"/>
        <v>1</v>
      </c>
      <c r="W132" s="441">
        <f t="shared" si="7"/>
        <v>1</v>
      </c>
      <c r="X132" s="441">
        <f t="shared" si="7"/>
        <v>1</v>
      </c>
      <c r="Y132" s="441">
        <f t="shared" si="7"/>
        <v>1</v>
      </c>
      <c r="Z132" s="728">
        <f>+SUM(U128:Y132)</f>
        <v>25</v>
      </c>
    </row>
    <row r="133" spans="2:12" ht="12.75">
      <c r="B133" s="630"/>
      <c r="C133" s="630"/>
      <c r="D133" s="630"/>
      <c r="E133" s="630"/>
      <c r="F133" s="630"/>
      <c r="G133" s="630"/>
      <c r="H133" s="630"/>
      <c r="I133" s="630"/>
      <c r="J133" s="630"/>
      <c r="K133" s="630"/>
      <c r="L133" s="630"/>
    </row>
  </sheetData>
  <sheetProtection/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2"/>
  <sheetViews>
    <sheetView zoomScale="80" zoomScaleNormal="80" zoomScalePageLayoutView="0" workbookViewId="0" topLeftCell="A115">
      <selection activeCell="G127" sqref="G127:L131"/>
    </sheetView>
  </sheetViews>
  <sheetFormatPr defaultColWidth="11.421875" defaultRowHeight="12.75"/>
  <cols>
    <col min="1" max="1" width="11.421875" style="441" customWidth="1"/>
    <col min="2" max="2" width="11.00390625" style="441" customWidth="1"/>
    <col min="3" max="4" width="8.140625" style="441" customWidth="1"/>
    <col min="5" max="5" width="23.57421875" style="441" customWidth="1"/>
    <col min="6" max="6" width="24.00390625" style="441" customWidth="1"/>
    <col min="7" max="7" width="11.8515625" style="441" customWidth="1"/>
    <col min="8" max="8" width="12.8515625" style="441" customWidth="1"/>
    <col min="9" max="12" width="11.00390625" style="441" customWidth="1"/>
    <col min="13" max="245" width="11.421875" style="441" customWidth="1"/>
    <col min="246" max="246" width="8.8515625" style="441" customWidth="1"/>
    <col min="247" max="247" width="13.57421875" style="441" customWidth="1"/>
    <col min="248" max="248" width="6.7109375" style="441" customWidth="1"/>
    <col min="249" max="249" width="8.140625" style="441" customWidth="1"/>
    <col min="250" max="250" width="9.7109375" style="441" customWidth="1"/>
    <col min="251" max="16384" width="8.57421875" style="441" customWidth="1"/>
  </cols>
  <sheetData>
    <row r="2" spans="2:12" ht="21">
      <c r="B2" s="521" t="s">
        <v>412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pans="2:12" ht="18.75">
      <c r="B3" s="522" t="str">
        <f>+'(2) Presupuesto de la Conexión'!B3</f>
        <v>Resolución Osinergmin N° 137-2019-OS/CD modificado por Resolución Osinergmin N° 176-2019 OS/CD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</row>
    <row r="4" spans="2:12" ht="18.75">
      <c r="B4" s="522" t="str">
        <f>+Factores!A2</f>
        <v>Vigente a partir del 04/Nov/2022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</row>
    <row r="5" spans="2:12" ht="18.75">
      <c r="B5" s="522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2:12" ht="15.75">
      <c r="B6" s="632" t="s">
        <v>408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2:12" ht="15.75">
      <c r="B7" s="632" t="s">
        <v>428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</row>
    <row r="8" spans="2:12" ht="15.75">
      <c r="B8" s="632"/>
      <c r="C8" s="630"/>
      <c r="D8" s="630"/>
      <c r="E8" s="630"/>
      <c r="F8" s="630"/>
      <c r="G8" s="630"/>
      <c r="H8" s="630"/>
      <c r="I8" s="630"/>
      <c r="J8" s="630"/>
      <c r="K8" s="630"/>
      <c r="L8" s="630"/>
    </row>
    <row r="9" spans="2:12" ht="15">
      <c r="B9" s="969" t="s">
        <v>247</v>
      </c>
      <c r="C9" s="970"/>
      <c r="D9" s="970"/>
      <c r="E9" s="731" t="s">
        <v>268</v>
      </c>
      <c r="F9" s="630"/>
      <c r="G9" s="630"/>
      <c r="H9" s="630"/>
      <c r="I9" s="630"/>
      <c r="J9" s="630"/>
      <c r="K9" s="630"/>
      <c r="L9" s="630"/>
    </row>
    <row r="10" spans="2:12" ht="15">
      <c r="B10" s="971"/>
      <c r="C10" s="972"/>
      <c r="D10" s="972"/>
      <c r="E10" s="732" t="s">
        <v>269</v>
      </c>
      <c r="F10" s="630"/>
      <c r="G10" s="630"/>
      <c r="H10" s="630"/>
      <c r="I10" s="630"/>
      <c r="J10" s="630"/>
      <c r="K10" s="630"/>
      <c r="L10" s="630"/>
    </row>
    <row r="11" spans="2:14" ht="15">
      <c r="B11" s="973" t="s">
        <v>248</v>
      </c>
      <c r="C11" s="973"/>
      <c r="D11" s="973"/>
      <c r="E11" s="857">
        <f>+'(3) Reposición'!E11</f>
        <v>0</v>
      </c>
      <c r="F11" s="630"/>
      <c r="G11" s="630"/>
      <c r="H11" s="630"/>
      <c r="I11" s="630"/>
      <c r="J11" s="630"/>
      <c r="K11" s="630"/>
      <c r="L11" s="630"/>
      <c r="N11" s="441" t="e">
        <f>+E11/'(3) Reposición'!E11</f>
        <v>#DIV/0!</v>
      </c>
    </row>
    <row r="12" spans="2:14" ht="15">
      <c r="B12" s="968" t="s">
        <v>249</v>
      </c>
      <c r="C12" s="968"/>
      <c r="D12" s="968"/>
      <c r="E12" s="857">
        <f>+'(3) Reposición'!E12</f>
        <v>0</v>
      </c>
      <c r="F12" s="630"/>
      <c r="G12" s="630"/>
      <c r="H12" s="630"/>
      <c r="I12" s="630"/>
      <c r="J12" s="630"/>
      <c r="K12" s="630"/>
      <c r="L12" s="630"/>
      <c r="N12" s="441" t="e">
        <f>+E12/'(3) Reposición'!E12</f>
        <v>#DIV/0!</v>
      </c>
    </row>
    <row r="13" spans="2:14" ht="15">
      <c r="B13" s="968" t="s">
        <v>250</v>
      </c>
      <c r="C13" s="968"/>
      <c r="D13" s="968"/>
      <c r="E13" s="857">
        <f>+'(3) Reposición'!E13</f>
        <v>0</v>
      </c>
      <c r="F13" s="630"/>
      <c r="G13" s="630"/>
      <c r="H13" s="630"/>
      <c r="I13" s="630"/>
      <c r="J13" s="630"/>
      <c r="K13" s="630"/>
      <c r="L13" s="630"/>
      <c r="N13" s="441" t="e">
        <f>+E13/'(3) Reposición'!E13</f>
        <v>#DIV/0!</v>
      </c>
    </row>
    <row r="14" spans="2:12" ht="15">
      <c r="B14" s="968" t="s">
        <v>251</v>
      </c>
      <c r="C14" s="968"/>
      <c r="D14" s="968"/>
      <c r="E14" s="857">
        <f>+'(3) Reposición'!E14</f>
        <v>-0.012333</v>
      </c>
      <c r="F14" s="630"/>
      <c r="G14" s="630"/>
      <c r="H14" s="630"/>
      <c r="I14" s="630"/>
      <c r="J14" s="630"/>
      <c r="K14" s="630"/>
      <c r="L14" s="630"/>
    </row>
    <row r="15" spans="2:14" ht="15">
      <c r="B15" s="968" t="s">
        <v>252</v>
      </c>
      <c r="C15" s="968"/>
      <c r="D15" s="968"/>
      <c r="E15" s="857">
        <f>+'(3) Reposición'!E15*1.12</f>
        <v>-0.01381296</v>
      </c>
      <c r="F15" s="630"/>
      <c r="G15" s="630"/>
      <c r="H15" s="630"/>
      <c r="I15" s="630"/>
      <c r="J15" s="630"/>
      <c r="K15" s="630"/>
      <c r="L15" s="630"/>
      <c r="N15" s="441">
        <f>+E15/'(3) Reposición'!E15</f>
        <v>1.12</v>
      </c>
    </row>
    <row r="16" spans="2:14" ht="15">
      <c r="B16" s="968" t="s">
        <v>253</v>
      </c>
      <c r="C16" s="968"/>
      <c r="D16" s="968"/>
      <c r="E16" s="857">
        <f>+'(3) Reposición'!E16*1.12</f>
        <v>0</v>
      </c>
      <c r="F16" s="630"/>
      <c r="G16" s="630"/>
      <c r="H16" s="630"/>
      <c r="I16" s="630"/>
      <c r="J16" s="630"/>
      <c r="K16" s="630"/>
      <c r="L16" s="630"/>
      <c r="N16" s="441" t="e">
        <f>+E16/'(3) Reposición'!E16</f>
        <v>#DIV/0!</v>
      </c>
    </row>
    <row r="17" spans="2:14" ht="15">
      <c r="B17" s="968" t="s">
        <v>263</v>
      </c>
      <c r="C17" s="968"/>
      <c r="D17" s="968"/>
      <c r="E17" s="857">
        <f>+'(3) Reposición'!E17</f>
        <v>0</v>
      </c>
      <c r="F17" s="630"/>
      <c r="G17" s="630"/>
      <c r="H17" s="630"/>
      <c r="I17" s="630"/>
      <c r="J17" s="630"/>
      <c r="K17" s="630"/>
      <c r="L17" s="630"/>
      <c r="N17" s="441" t="e">
        <f>+E17/'(3) Reposición'!E17</f>
        <v>#DIV/0!</v>
      </c>
    </row>
    <row r="18" spans="2:14" ht="15">
      <c r="B18" s="968" t="s">
        <v>254</v>
      </c>
      <c r="C18" s="968"/>
      <c r="D18" s="968"/>
      <c r="E18" s="857">
        <f>+'(3) Reposición'!E18</f>
        <v>0</v>
      </c>
      <c r="F18" s="630"/>
      <c r="G18" s="630"/>
      <c r="H18" s="630"/>
      <c r="I18" s="630"/>
      <c r="J18" s="630"/>
      <c r="K18" s="630"/>
      <c r="L18" s="630"/>
      <c r="N18" s="441" t="e">
        <f>+E18/'(3) Reposición'!E18</f>
        <v>#DIV/0!</v>
      </c>
    </row>
    <row r="19" spans="2:14" ht="15">
      <c r="B19" s="968" t="s">
        <v>264</v>
      </c>
      <c r="C19" s="968"/>
      <c r="D19" s="968"/>
      <c r="E19" s="857">
        <f>+'(3) Reposición'!E19*1.12</f>
        <v>-0.01381296</v>
      </c>
      <c r="F19" s="630"/>
      <c r="G19" s="630"/>
      <c r="H19" s="630"/>
      <c r="I19" s="630"/>
      <c r="J19" s="630"/>
      <c r="K19" s="630"/>
      <c r="L19" s="630"/>
      <c r="N19" s="441">
        <f>+E19/'(3) Reposición'!E19</f>
        <v>1.12</v>
      </c>
    </row>
    <row r="20" spans="2:14" ht="15">
      <c r="B20" s="968" t="s">
        <v>265</v>
      </c>
      <c r="C20" s="968"/>
      <c r="D20" s="968"/>
      <c r="E20" s="857">
        <f>+'(3) Reposición'!E20*1.12</f>
        <v>-0.01381296</v>
      </c>
      <c r="F20" s="630"/>
      <c r="G20" s="630"/>
      <c r="H20" s="630"/>
      <c r="I20" s="630"/>
      <c r="J20" s="630"/>
      <c r="K20" s="630"/>
      <c r="L20" s="630"/>
      <c r="N20" s="441">
        <f>+E20/'(3) Reposición'!E20</f>
        <v>1.12</v>
      </c>
    </row>
    <row r="21" spans="2:14" ht="15">
      <c r="B21" s="968" t="s">
        <v>255</v>
      </c>
      <c r="C21" s="968"/>
      <c r="D21" s="968"/>
      <c r="E21" s="857">
        <f>+'(3) Reposición'!E21</f>
        <v>-0.012333</v>
      </c>
      <c r="F21" s="630"/>
      <c r="G21" s="630"/>
      <c r="H21" s="630"/>
      <c r="I21" s="630"/>
      <c r="J21" s="630"/>
      <c r="K21" s="630"/>
      <c r="L21" s="630"/>
      <c r="N21" s="441">
        <f>+E21/'(3) Reposición'!E21</f>
        <v>1</v>
      </c>
    </row>
    <row r="22" spans="2:14" ht="15">
      <c r="B22" s="968" t="s">
        <v>266</v>
      </c>
      <c r="C22" s="968"/>
      <c r="D22" s="968"/>
      <c r="E22" s="857">
        <f>+'(3) Reposición'!E22</f>
        <v>0</v>
      </c>
      <c r="F22" s="630"/>
      <c r="G22" s="630"/>
      <c r="H22" s="630"/>
      <c r="I22" s="630"/>
      <c r="J22" s="630"/>
      <c r="K22" s="630"/>
      <c r="L22" s="630"/>
      <c r="N22" s="441" t="e">
        <f>+E22/'(3) Reposición'!E22</f>
        <v>#DIV/0!</v>
      </c>
    </row>
    <row r="23" spans="2:14" ht="15">
      <c r="B23" s="968" t="s">
        <v>256</v>
      </c>
      <c r="C23" s="968"/>
      <c r="D23" s="968"/>
      <c r="E23" s="857">
        <f>+'(3) Reposición'!E23</f>
        <v>0</v>
      </c>
      <c r="F23" s="630"/>
      <c r="G23" s="630"/>
      <c r="H23" s="630"/>
      <c r="I23" s="630"/>
      <c r="J23" s="630"/>
      <c r="K23" s="630"/>
      <c r="L23" s="630"/>
      <c r="N23" s="441" t="e">
        <f>+E23/'(3) Reposición'!E23</f>
        <v>#DIV/0!</v>
      </c>
    </row>
    <row r="24" spans="2:14" ht="15">
      <c r="B24" s="968" t="s">
        <v>257</v>
      </c>
      <c r="C24" s="968"/>
      <c r="D24" s="968"/>
      <c r="E24" s="857">
        <f>+'(3) Reposición'!E24</f>
        <v>0</v>
      </c>
      <c r="F24" s="630"/>
      <c r="G24" s="630"/>
      <c r="H24" s="630"/>
      <c r="I24" s="630"/>
      <c r="J24" s="630"/>
      <c r="K24" s="630"/>
      <c r="L24" s="630"/>
      <c r="N24" s="441" t="e">
        <f>+E24/'(3) Reposición'!E24</f>
        <v>#DIV/0!</v>
      </c>
    </row>
    <row r="25" spans="2:14" ht="15">
      <c r="B25" s="968" t="s">
        <v>267</v>
      </c>
      <c r="C25" s="968"/>
      <c r="D25" s="968"/>
      <c r="E25" s="857">
        <f>+'(3) Reposición'!E25</f>
        <v>-0.012333</v>
      </c>
      <c r="F25" s="630"/>
      <c r="G25" s="630"/>
      <c r="H25" s="630"/>
      <c r="I25" s="630"/>
      <c r="J25" s="630"/>
      <c r="K25" s="630"/>
      <c r="L25" s="630"/>
      <c r="N25" s="441">
        <f>+E25/'(3) Reposición'!E25</f>
        <v>1</v>
      </c>
    </row>
    <row r="26" spans="2:14" ht="15">
      <c r="B26" s="968" t="s">
        <v>258</v>
      </c>
      <c r="C26" s="968"/>
      <c r="D26" s="968"/>
      <c r="E26" s="857">
        <f>+'(3) Reposición'!E26*1.12</f>
        <v>-0.01381296</v>
      </c>
      <c r="F26" s="630"/>
      <c r="G26" s="630"/>
      <c r="H26" s="630"/>
      <c r="I26" s="630"/>
      <c r="J26" s="630"/>
      <c r="K26" s="630"/>
      <c r="L26" s="630"/>
      <c r="N26" s="441">
        <f>+E26/'(3) Reposición'!E26</f>
        <v>1.12</v>
      </c>
    </row>
    <row r="27" spans="2:14" ht="15">
      <c r="B27" s="968" t="s">
        <v>259</v>
      </c>
      <c r="C27" s="968"/>
      <c r="D27" s="968"/>
      <c r="E27" s="857">
        <f>+'(3) Reposición'!E27</f>
        <v>0</v>
      </c>
      <c r="F27" s="630"/>
      <c r="G27" s="630"/>
      <c r="H27" s="630"/>
      <c r="I27" s="630"/>
      <c r="J27" s="630"/>
      <c r="K27" s="630"/>
      <c r="L27" s="630"/>
      <c r="N27" s="441" t="e">
        <f>+E27/'(3) Reposición'!E27</f>
        <v>#DIV/0!</v>
      </c>
    </row>
    <row r="28" spans="2:14" ht="15">
      <c r="B28" s="968" t="s">
        <v>260</v>
      </c>
      <c r="C28" s="968"/>
      <c r="D28" s="968"/>
      <c r="E28" s="857">
        <f>+'(3) Reposición'!E28</f>
        <v>0.012333</v>
      </c>
      <c r="F28" s="630"/>
      <c r="G28" s="630"/>
      <c r="H28" s="630"/>
      <c r="I28" s="630"/>
      <c r="J28" s="630"/>
      <c r="K28" s="630"/>
      <c r="L28" s="630"/>
      <c r="N28" s="441">
        <f>+E28/'(3) Reposición'!E28</f>
        <v>1</v>
      </c>
    </row>
    <row r="29" spans="2:12" ht="15">
      <c r="B29" s="968" t="s">
        <v>261</v>
      </c>
      <c r="C29" s="968"/>
      <c r="D29" s="968"/>
      <c r="E29" s="857">
        <f>+'(3) Reposición'!E29</f>
        <v>-0.012333</v>
      </c>
      <c r="F29" s="630"/>
      <c r="G29" s="630"/>
      <c r="H29" s="630"/>
      <c r="I29" s="630"/>
      <c r="J29" s="630"/>
      <c r="K29" s="630"/>
      <c r="L29" s="630"/>
    </row>
    <row r="30" spans="2:16" ht="15">
      <c r="B30" s="968" t="s">
        <v>262</v>
      </c>
      <c r="C30" s="968"/>
      <c r="D30" s="968"/>
      <c r="E30" s="857">
        <f>+'(3) Reposición'!E30*1.12</f>
        <v>-0.01381296</v>
      </c>
      <c r="F30" s="630"/>
      <c r="G30" s="630"/>
      <c r="H30" s="630"/>
      <c r="I30" s="630"/>
      <c r="J30" s="630"/>
      <c r="K30" s="630"/>
      <c r="L30" s="630"/>
      <c r="N30" s="441">
        <f>+E30/'(3) Reposición'!E30</f>
        <v>1.12</v>
      </c>
      <c r="P30" s="726"/>
    </row>
    <row r="31" spans="2:12" ht="12.75">
      <c r="B31" s="523"/>
      <c r="C31" s="630"/>
      <c r="D31" s="630"/>
      <c r="E31" s="630"/>
      <c r="F31" s="630"/>
      <c r="G31" s="630"/>
      <c r="H31" s="630"/>
      <c r="I31" s="630"/>
      <c r="J31" s="630"/>
      <c r="K31" s="630"/>
      <c r="L31" s="630"/>
    </row>
    <row r="32" spans="2:12" ht="12.75">
      <c r="B32" s="523"/>
      <c r="C32" s="630"/>
      <c r="D32" s="630"/>
      <c r="E32" s="630"/>
      <c r="F32" s="630"/>
      <c r="G32" s="630"/>
      <c r="H32" s="630"/>
      <c r="I32" s="630"/>
      <c r="J32" s="630"/>
      <c r="K32" s="630"/>
      <c r="L32" s="630"/>
    </row>
    <row r="33" spans="2:12" ht="15.75">
      <c r="B33" s="632" t="s">
        <v>421</v>
      </c>
      <c r="C33" s="630"/>
      <c r="D33" s="733"/>
      <c r="E33" s="733"/>
      <c r="F33" s="733"/>
      <c r="G33" s="733"/>
      <c r="H33" s="733"/>
      <c r="I33" s="733"/>
      <c r="J33" s="733"/>
      <c r="K33" s="733"/>
      <c r="L33" s="733"/>
    </row>
    <row r="34" spans="2:12" ht="12.75">
      <c r="B34" s="733"/>
      <c r="C34" s="733"/>
      <c r="D34" s="633"/>
      <c r="E34" s="633"/>
      <c r="F34" s="633"/>
      <c r="G34" s="633"/>
      <c r="H34" s="633"/>
      <c r="I34" s="633"/>
      <c r="J34" s="633"/>
      <c r="K34" s="633"/>
      <c r="L34" s="633"/>
    </row>
    <row r="35" spans="2:12" ht="12.75" customHeight="1">
      <c r="B35" s="635" t="s">
        <v>6</v>
      </c>
      <c r="C35" s="635" t="s">
        <v>3</v>
      </c>
      <c r="D35" s="669" t="s">
        <v>4</v>
      </c>
      <c r="E35" s="635" t="s">
        <v>7</v>
      </c>
      <c r="F35" s="635" t="s">
        <v>49</v>
      </c>
      <c r="G35" s="669" t="s">
        <v>1</v>
      </c>
      <c r="H35" s="635" t="s">
        <v>2</v>
      </c>
      <c r="I35" s="630"/>
      <c r="J35" s="630"/>
      <c r="K35" s="630"/>
      <c r="L35" s="630"/>
    </row>
    <row r="36" spans="2:12" ht="12.75" customHeight="1">
      <c r="B36" s="658"/>
      <c r="C36" s="658"/>
      <c r="D36" s="670"/>
      <c r="E36" s="658" t="s">
        <v>86</v>
      </c>
      <c r="F36" s="658" t="s">
        <v>51</v>
      </c>
      <c r="G36" s="671" t="s">
        <v>274</v>
      </c>
      <c r="H36" s="639" t="s">
        <v>275</v>
      </c>
      <c r="I36" s="630"/>
      <c r="J36" s="630"/>
      <c r="K36" s="630"/>
      <c r="L36" s="630"/>
    </row>
    <row r="37" spans="2:15" ht="12.75">
      <c r="B37" s="640" t="s">
        <v>11</v>
      </c>
      <c r="C37" s="734" t="s">
        <v>9</v>
      </c>
      <c r="D37" s="673" t="s">
        <v>10</v>
      </c>
      <c r="E37" s="641" t="s">
        <v>12</v>
      </c>
      <c r="F37" s="642" t="s">
        <v>63</v>
      </c>
      <c r="G37" s="849">
        <f>+'(3) Reposición'!G37*1.12</f>
        <v>0.4143888</v>
      </c>
      <c r="H37" s="849">
        <f>+'(3) Reposición'!H37*1.12</f>
        <v>0.5663313600000001</v>
      </c>
      <c r="I37" s="630"/>
      <c r="J37" s="630"/>
      <c r="K37" s="630"/>
      <c r="L37" s="630"/>
      <c r="N37" s="441">
        <f>+G37/'(3) Reposición'!G37</f>
        <v>1.12</v>
      </c>
      <c r="O37" s="441">
        <f>+H37/'(3) Reposición'!H37</f>
        <v>1.12</v>
      </c>
    </row>
    <row r="38" spans="2:15" ht="12.75">
      <c r="B38" s="643"/>
      <c r="C38" s="736"/>
      <c r="D38" s="675"/>
      <c r="E38" s="645"/>
      <c r="F38" s="642" t="s">
        <v>87</v>
      </c>
      <c r="G38" s="849">
        <f>+'(3) Reposición'!G38*1.12</f>
        <v>0.27625920000000004</v>
      </c>
      <c r="H38" s="849">
        <f>+'(3) Reposición'!H38*1.12</f>
        <v>0.4143888</v>
      </c>
      <c r="I38" s="630"/>
      <c r="J38" s="630"/>
      <c r="K38" s="630"/>
      <c r="L38" s="630"/>
      <c r="N38" s="441">
        <f>+G38/'(3) Reposición'!G38</f>
        <v>1.12</v>
      </c>
      <c r="O38" s="441">
        <f>+H38/'(3) Reposición'!H38</f>
        <v>1.12</v>
      </c>
    </row>
    <row r="39" spans="2:15" ht="12.75">
      <c r="B39" s="643"/>
      <c r="C39" s="736"/>
      <c r="D39" s="675"/>
      <c r="E39" s="645"/>
      <c r="F39" s="642" t="s">
        <v>270</v>
      </c>
      <c r="G39" s="849">
        <f>+'(3) Reposición'!G39*1.12</f>
        <v>0.27625920000000004</v>
      </c>
      <c r="H39" s="849"/>
      <c r="I39" s="630"/>
      <c r="J39" s="630"/>
      <c r="K39" s="630"/>
      <c r="L39" s="630"/>
      <c r="N39" s="441">
        <f>+G39/'(3) Reposición'!G39</f>
        <v>1.12</v>
      </c>
      <c r="O39" s="441" t="e">
        <f>+H39/'(3) Reposición'!H39</f>
        <v>#DIV/0!</v>
      </c>
    </row>
    <row r="40" spans="2:15" ht="12.75">
      <c r="B40" s="643"/>
      <c r="C40" s="736"/>
      <c r="D40" s="675"/>
      <c r="E40" s="645"/>
      <c r="F40" s="642" t="s">
        <v>88</v>
      </c>
      <c r="G40" s="849">
        <f>+'(3) Reposición'!G40*1.12</f>
        <v>0.27625920000000004</v>
      </c>
      <c r="H40" s="849">
        <f>+'(3) Reposición'!H40*1.12</f>
        <v>0.4143888</v>
      </c>
      <c r="I40" s="630"/>
      <c r="J40" s="630"/>
      <c r="K40" s="630"/>
      <c r="L40" s="630"/>
      <c r="N40" s="441">
        <f>+G40/'(3) Reposición'!G40</f>
        <v>1.12</v>
      </c>
      <c r="O40" s="441">
        <f>+H40/'(3) Reposición'!H40</f>
        <v>1.12</v>
      </c>
    </row>
    <row r="41" spans="2:15" ht="12.75">
      <c r="B41" s="643"/>
      <c r="C41" s="736"/>
      <c r="D41" s="675"/>
      <c r="E41" s="645"/>
      <c r="F41" s="642" t="s">
        <v>271</v>
      </c>
      <c r="G41" s="849">
        <f>+'(3) Reposición'!G41*1.12</f>
        <v>0.33151104</v>
      </c>
      <c r="H41" s="849"/>
      <c r="I41" s="630"/>
      <c r="J41" s="630"/>
      <c r="K41" s="630"/>
      <c r="L41" s="630"/>
      <c r="N41" s="441">
        <f>+G41/'(3) Reposición'!G41</f>
        <v>1.12</v>
      </c>
      <c r="O41" s="441" t="e">
        <f>+H41/'(3) Reposición'!H41</f>
        <v>#DIV/0!</v>
      </c>
    </row>
    <row r="42" spans="2:15" ht="12.75">
      <c r="B42" s="643"/>
      <c r="C42" s="736"/>
      <c r="D42" s="677"/>
      <c r="E42" s="737"/>
      <c r="F42" s="642" t="s">
        <v>56</v>
      </c>
      <c r="G42" s="849">
        <f>+'(3) Reposición'!G42*1.12</f>
        <v>0.09669072000000004</v>
      </c>
      <c r="H42" s="849">
        <f>+'(3) Reposición'!H42*1.12</f>
        <v>0.23482032000000003</v>
      </c>
      <c r="I42" s="630"/>
      <c r="J42" s="630"/>
      <c r="K42" s="630"/>
      <c r="L42" s="630"/>
      <c r="N42" s="441">
        <f>+G42/'(3) Reposición'!G42</f>
        <v>1.12</v>
      </c>
      <c r="O42" s="441">
        <f>+H42/'(3) Reposición'!H42</f>
        <v>1.12</v>
      </c>
    </row>
    <row r="43" spans="2:15" ht="12.75">
      <c r="B43" s="643"/>
      <c r="C43" s="736"/>
      <c r="D43" s="673" t="s">
        <v>14</v>
      </c>
      <c r="E43" s="641" t="s">
        <v>15</v>
      </c>
      <c r="F43" s="642" t="s">
        <v>63</v>
      </c>
      <c r="G43" s="849">
        <f>+'(3) Reposición'!G43*1.12</f>
        <v>0.46964064000000005</v>
      </c>
      <c r="H43" s="849">
        <f>+'(3) Reposición'!H43*1.12</f>
        <v>0.5663313600000001</v>
      </c>
      <c r="I43" s="630"/>
      <c r="J43" s="630"/>
      <c r="K43" s="630"/>
      <c r="L43" s="630"/>
      <c r="N43" s="441">
        <f>+G43/'(3) Reposición'!G43</f>
        <v>1.12</v>
      </c>
      <c r="O43" s="441">
        <f>+H43/'(3) Reposición'!H43</f>
        <v>1.12</v>
      </c>
    </row>
    <row r="44" spans="2:15" ht="12.75">
      <c r="B44" s="643"/>
      <c r="C44" s="736"/>
      <c r="D44" s="675"/>
      <c r="E44" s="645"/>
      <c r="F44" s="642" t="s">
        <v>87</v>
      </c>
      <c r="G44" s="849">
        <f>+'(3) Reposición'!G44*1.12</f>
        <v>0.27625920000000004</v>
      </c>
      <c r="H44" s="849">
        <f>+'(3) Reposición'!H44*1.12</f>
        <v>0.4143888</v>
      </c>
      <c r="I44" s="630"/>
      <c r="J44" s="630"/>
      <c r="K44" s="630"/>
      <c r="L44" s="630"/>
      <c r="N44" s="441">
        <f>+G44/'(3) Reposición'!G44</f>
        <v>1.12</v>
      </c>
      <c r="O44" s="441">
        <f>+H44/'(3) Reposición'!H44</f>
        <v>1.12</v>
      </c>
    </row>
    <row r="45" spans="2:15" ht="12.75">
      <c r="B45" s="643"/>
      <c r="C45" s="736"/>
      <c r="D45" s="675"/>
      <c r="E45" s="645"/>
      <c r="F45" s="642" t="s">
        <v>88</v>
      </c>
      <c r="G45" s="849">
        <f>+'(3) Reposición'!G45*1.12</f>
        <v>0.27625920000000004</v>
      </c>
      <c r="H45" s="849">
        <f>+'(3) Reposición'!H45*1.12</f>
        <v>0.4143888</v>
      </c>
      <c r="I45" s="630"/>
      <c r="J45" s="630"/>
      <c r="K45" s="630"/>
      <c r="L45" s="630"/>
      <c r="N45" s="441">
        <f>+G45/'(3) Reposición'!G45</f>
        <v>1.12</v>
      </c>
      <c r="O45" s="441">
        <f>+H45/'(3) Reposición'!H45</f>
        <v>1.12</v>
      </c>
    </row>
    <row r="46" spans="2:15" ht="12.75">
      <c r="B46" s="643"/>
      <c r="C46" s="736"/>
      <c r="D46" s="675"/>
      <c r="E46" s="645"/>
      <c r="F46" s="649" t="s">
        <v>56</v>
      </c>
      <c r="G46" s="849">
        <f>+'(3) Reposición'!G46*1.12</f>
        <v>0.09669072000000004</v>
      </c>
      <c r="H46" s="849">
        <f>+'(3) Reposición'!H46*1.12</f>
        <v>0.23482032000000003</v>
      </c>
      <c r="I46" s="630"/>
      <c r="J46" s="630"/>
      <c r="K46" s="630"/>
      <c r="L46" s="630"/>
      <c r="N46" s="441">
        <f>+G46/'(3) Reposición'!G46</f>
        <v>1.12</v>
      </c>
      <c r="O46" s="441">
        <f>+H46/'(3) Reposición'!H46</f>
        <v>1.12</v>
      </c>
    </row>
    <row r="47" spans="2:15" ht="12.75">
      <c r="B47" s="640" t="s">
        <v>18</v>
      </c>
      <c r="C47" s="640" t="s">
        <v>16</v>
      </c>
      <c r="D47" s="687" t="s">
        <v>17</v>
      </c>
      <c r="E47" s="641" t="s">
        <v>19</v>
      </c>
      <c r="F47" s="642" t="s">
        <v>63</v>
      </c>
      <c r="G47" s="849">
        <f>+'(3) Reposición'!G47*1.12</f>
        <v>0.8425905600000001</v>
      </c>
      <c r="H47" s="849">
        <f>+'(3) Reposición'!H47*1.12</f>
        <v>0.9807201600000001</v>
      </c>
      <c r="I47" s="630"/>
      <c r="J47" s="630"/>
      <c r="K47" s="630"/>
      <c r="L47" s="630"/>
      <c r="N47" s="441">
        <f>+G47/'(3) Reposición'!G47</f>
        <v>1.12</v>
      </c>
      <c r="O47" s="441">
        <f>+H47/'(3) Reposición'!H47</f>
        <v>1.12</v>
      </c>
    </row>
    <row r="48" spans="2:15" ht="12.75">
      <c r="B48" s="643"/>
      <c r="C48" s="643"/>
      <c r="D48" s="738"/>
      <c r="E48" s="645"/>
      <c r="F48" s="642" t="s">
        <v>60</v>
      </c>
      <c r="G48" s="849">
        <f>+'(3) Reposición'!G48*1.12</f>
        <v>0.6077702400000001</v>
      </c>
      <c r="H48" s="849">
        <f>+'(3) Reposición'!H48*1.12</f>
        <v>0.7458998400000002</v>
      </c>
      <c r="I48" s="630"/>
      <c r="J48" s="630"/>
      <c r="K48" s="630"/>
      <c r="L48" s="630"/>
      <c r="N48" s="441">
        <f>+G48/'(3) Reposición'!G48</f>
        <v>1.12</v>
      </c>
      <c r="O48" s="441">
        <f>+H48/'(3) Reposición'!H48</f>
        <v>1.12</v>
      </c>
    </row>
    <row r="49" spans="2:15" ht="12.75">
      <c r="B49" s="643"/>
      <c r="C49" s="643"/>
      <c r="D49" s="738"/>
      <c r="E49" s="645"/>
      <c r="F49" s="642" t="s">
        <v>56</v>
      </c>
      <c r="G49" s="849">
        <f>+'(3) Reposición'!G49*1.12</f>
        <v>0.19338144000000007</v>
      </c>
      <c r="H49" s="849">
        <f>+'(3) Reposición'!H49*1.12</f>
        <v>0.27625920000000004</v>
      </c>
      <c r="I49" s="630"/>
      <c r="J49" s="630"/>
      <c r="K49" s="630"/>
      <c r="L49" s="630"/>
      <c r="N49" s="441">
        <f>+G49/'(3) Reposición'!G49</f>
        <v>1.12</v>
      </c>
      <c r="O49" s="441">
        <f>+H49/'(3) Reposición'!H49</f>
        <v>1.12</v>
      </c>
    </row>
    <row r="50" spans="2:15" ht="12.75">
      <c r="B50" s="643"/>
      <c r="C50" s="643"/>
      <c r="D50" s="738"/>
      <c r="E50" s="645"/>
      <c r="F50" s="642" t="s">
        <v>272</v>
      </c>
      <c r="G50" s="849">
        <f>+'(3) Reposición'!G50*1.12</f>
        <v>1.0221590400000002</v>
      </c>
      <c r="H50" s="849">
        <f>+'(3) Reposición'!H50*1.12</f>
        <v>1.1602886400000003</v>
      </c>
      <c r="I50" s="630"/>
      <c r="J50" s="630"/>
      <c r="K50" s="630"/>
      <c r="L50" s="630"/>
      <c r="N50" s="441">
        <f>+G50/'(3) Reposición'!G50</f>
        <v>1.12</v>
      </c>
      <c r="O50" s="441">
        <f>+H50/'(3) Reposición'!H50</f>
        <v>1.12</v>
      </c>
    </row>
    <row r="51" spans="2:15" ht="12.75">
      <c r="B51" s="643"/>
      <c r="C51" s="643"/>
      <c r="D51" s="739" t="s">
        <v>21</v>
      </c>
      <c r="E51" s="740" t="s">
        <v>22</v>
      </c>
      <c r="F51" s="642" t="s">
        <v>63</v>
      </c>
      <c r="G51" s="849">
        <f>+'(3) Reposición'!G51*1.12</f>
        <v>0.8425905600000001</v>
      </c>
      <c r="H51" s="849">
        <f>+'(3) Reposición'!H51*1.12</f>
        <v>0.9807201600000001</v>
      </c>
      <c r="I51" s="630"/>
      <c r="J51" s="630"/>
      <c r="K51" s="630"/>
      <c r="L51" s="630"/>
      <c r="N51" s="441">
        <f>+G51/'(3) Reposición'!G51</f>
        <v>1.12</v>
      </c>
      <c r="O51" s="441">
        <f>+H51/'(3) Reposición'!H51</f>
        <v>1.12</v>
      </c>
    </row>
    <row r="52" spans="2:15" ht="12.75">
      <c r="B52" s="643"/>
      <c r="C52" s="643"/>
      <c r="D52" s="738"/>
      <c r="E52" s="645"/>
      <c r="F52" s="642" t="s">
        <v>60</v>
      </c>
      <c r="G52" s="849">
        <f>+'(3) Reposición'!G52*1.12</f>
        <v>0.6077702400000001</v>
      </c>
      <c r="H52" s="849">
        <f>+'(3) Reposición'!H52*1.12</f>
        <v>0.7458998400000002</v>
      </c>
      <c r="I52" s="630"/>
      <c r="J52" s="630"/>
      <c r="K52" s="630"/>
      <c r="L52" s="630"/>
      <c r="N52" s="441">
        <f>+G52/'(3) Reposición'!G52</f>
        <v>1.12</v>
      </c>
      <c r="O52" s="441">
        <f>+H52/'(3) Reposición'!H52</f>
        <v>1.12</v>
      </c>
    </row>
    <row r="53" spans="2:15" ht="12.75">
      <c r="B53" s="643"/>
      <c r="C53" s="643"/>
      <c r="D53" s="738"/>
      <c r="E53" s="645"/>
      <c r="F53" s="642" t="s">
        <v>56</v>
      </c>
      <c r="G53" s="849">
        <f>+'(3) Reposición'!G53*1.12</f>
        <v>0.19338144000000007</v>
      </c>
      <c r="H53" s="849">
        <f>+'(3) Reposición'!H53*1.12</f>
        <v>0.27625920000000004</v>
      </c>
      <c r="I53" s="630"/>
      <c r="J53" s="630"/>
      <c r="K53" s="630"/>
      <c r="L53" s="630"/>
      <c r="N53" s="441">
        <f>+G53/'(3) Reposición'!G53</f>
        <v>1.12</v>
      </c>
      <c r="O53" s="441">
        <f>+H53/'(3) Reposición'!H53</f>
        <v>1.12</v>
      </c>
    </row>
    <row r="54" spans="2:15" ht="12.75">
      <c r="B54" s="643"/>
      <c r="C54" s="643"/>
      <c r="D54" s="738"/>
      <c r="E54" s="645"/>
      <c r="F54" s="642" t="s">
        <v>272</v>
      </c>
      <c r="G54" s="849">
        <f>+'(3) Reposición'!G54*1.12</f>
        <v>1.0774108800000002</v>
      </c>
      <c r="H54" s="849">
        <f>+'(3) Reposición'!H54*1.12</f>
        <v>1.2155404800000003</v>
      </c>
      <c r="I54" s="630"/>
      <c r="J54" s="630"/>
      <c r="K54" s="630"/>
      <c r="L54" s="630"/>
      <c r="N54" s="441">
        <f>+G54/'(3) Reposición'!G54</f>
        <v>1.12</v>
      </c>
      <c r="O54" s="441">
        <f>+H54/'(3) Reposición'!H54</f>
        <v>1.12</v>
      </c>
    </row>
    <row r="55" spans="2:15" ht="12.75">
      <c r="B55" s="643"/>
      <c r="C55" s="663" t="s">
        <v>23</v>
      </c>
      <c r="D55" s="688" t="s">
        <v>24</v>
      </c>
      <c r="E55" s="666" t="s">
        <v>25</v>
      </c>
      <c r="F55" s="642" t="s">
        <v>273</v>
      </c>
      <c r="G55" s="849">
        <f>+'(3) Reposición'!G55*1.12</f>
        <v>1.3759647999999998</v>
      </c>
      <c r="H55" s="849">
        <f>+'(3) Reposición'!H55*1.12</f>
        <v>1.6221900800000002</v>
      </c>
      <c r="I55" s="630"/>
      <c r="J55" s="630"/>
      <c r="K55" s="630"/>
      <c r="L55" s="630"/>
      <c r="N55" s="441">
        <f>+G55/'(3) Reposición'!G55</f>
        <v>1.12</v>
      </c>
      <c r="O55" s="441">
        <f>+H55/'(3) Reposición'!H55</f>
        <v>1.12</v>
      </c>
    </row>
    <row r="56" spans="2:15" ht="12.75">
      <c r="B56" s="643"/>
      <c r="C56" s="643" t="s">
        <v>26</v>
      </c>
      <c r="D56" s="675" t="s">
        <v>27</v>
      </c>
      <c r="E56" s="645" t="s">
        <v>28</v>
      </c>
      <c r="F56" s="642" t="s">
        <v>272</v>
      </c>
      <c r="G56" s="849">
        <f>+'(3) Reposición'!G56*1.12</f>
        <v>1.46286784</v>
      </c>
      <c r="H56" s="849">
        <f>+'(3) Reposición'!H56*1.12</f>
        <v>1.91186688</v>
      </c>
      <c r="I56" s="630"/>
      <c r="J56" s="630"/>
      <c r="K56" s="630"/>
      <c r="L56" s="630"/>
      <c r="N56" s="441">
        <f>+G56/'(3) Reposición'!G56</f>
        <v>1.12</v>
      </c>
      <c r="O56" s="441">
        <f>+H56/'(3) Reposición'!H56</f>
        <v>1.12</v>
      </c>
    </row>
    <row r="57" spans="2:15" ht="12.75">
      <c r="B57" s="643"/>
      <c r="C57" s="643"/>
      <c r="D57" s="741" t="s">
        <v>29</v>
      </c>
      <c r="E57" s="740" t="s">
        <v>30</v>
      </c>
      <c r="F57" s="642" t="s">
        <v>272</v>
      </c>
      <c r="G57" s="858"/>
      <c r="H57" s="849">
        <f>+'(3) Reposición'!H57*1.12</f>
        <v>2.63605888</v>
      </c>
      <c r="I57" s="630"/>
      <c r="J57" s="630"/>
      <c r="K57" s="630"/>
      <c r="L57" s="630"/>
      <c r="N57" s="441" t="e">
        <f>+G57/'(3) Reposición'!G57</f>
        <v>#DIV/0!</v>
      </c>
      <c r="O57" s="441">
        <f>+H57/'(3) Reposición'!H57</f>
        <v>1.12</v>
      </c>
    </row>
    <row r="58" spans="2:15" ht="12.75">
      <c r="B58" s="643"/>
      <c r="C58" s="643"/>
      <c r="D58" s="741" t="s">
        <v>31</v>
      </c>
      <c r="E58" s="740" t="s">
        <v>32</v>
      </c>
      <c r="F58" s="642" t="s">
        <v>272</v>
      </c>
      <c r="G58" s="859"/>
      <c r="H58" s="849">
        <f>+'(3) Reposición'!H58*1.12</f>
        <v>3.43267008</v>
      </c>
      <c r="I58" s="630"/>
      <c r="J58" s="630"/>
      <c r="K58" s="630"/>
      <c r="L58" s="630"/>
      <c r="N58" s="441" t="e">
        <f>+G58/'(3) Reposición'!G58</f>
        <v>#DIV/0!</v>
      </c>
      <c r="O58" s="441">
        <f>+H58/'(3) Reposición'!H58</f>
        <v>1.12</v>
      </c>
    </row>
    <row r="59" spans="2:19" ht="12.75">
      <c r="B59" s="647"/>
      <c r="C59" s="647"/>
      <c r="D59" s="742" t="s">
        <v>33</v>
      </c>
      <c r="E59" s="743" t="s">
        <v>34</v>
      </c>
      <c r="F59" s="642" t="s">
        <v>272</v>
      </c>
      <c r="G59" s="860"/>
      <c r="H59" s="849">
        <f>+'(3) Reposición'!H59*1.12</f>
        <v>3.72234688</v>
      </c>
      <c r="I59" s="630"/>
      <c r="J59" s="630"/>
      <c r="K59" s="630"/>
      <c r="L59" s="630"/>
      <c r="N59" s="441" t="e">
        <f>+G59/'(3) Reposición'!G59</f>
        <v>#DIV/0!</v>
      </c>
      <c r="O59" s="441">
        <f>+H59/'(3) Reposición'!H59</f>
        <v>1.12</v>
      </c>
      <c r="S59" s="726"/>
    </row>
    <row r="60" spans="2:12" ht="12.75">
      <c r="B60" s="733" t="s">
        <v>276</v>
      </c>
      <c r="C60" s="733"/>
      <c r="D60" s="733"/>
      <c r="E60" s="733"/>
      <c r="F60" s="633"/>
      <c r="G60" s="633"/>
      <c r="H60" s="633"/>
      <c r="I60" s="633"/>
      <c r="J60" s="633"/>
      <c r="K60" s="633"/>
      <c r="L60" s="633"/>
    </row>
    <row r="61" spans="2:12" ht="12.75">
      <c r="B61" s="630" t="s">
        <v>277</v>
      </c>
      <c r="C61" s="630"/>
      <c r="D61" s="630"/>
      <c r="E61" s="630"/>
      <c r="F61" s="630"/>
      <c r="G61" s="630"/>
      <c r="H61" s="630"/>
      <c r="I61" s="630"/>
      <c r="J61" s="630"/>
      <c r="K61" s="633"/>
      <c r="L61" s="633"/>
    </row>
    <row r="62" spans="2:12" ht="12.75">
      <c r="B62" s="633" t="s">
        <v>278</v>
      </c>
      <c r="C62" s="633"/>
      <c r="D62" s="633"/>
      <c r="E62" s="633"/>
      <c r="F62" s="633"/>
      <c r="G62" s="633"/>
      <c r="H62" s="633"/>
      <c r="I62" s="633"/>
      <c r="J62" s="633"/>
      <c r="K62" s="633"/>
      <c r="L62" s="633"/>
    </row>
    <row r="63" spans="2:12" ht="12.75">
      <c r="B63" s="633"/>
      <c r="C63" s="633"/>
      <c r="D63" s="633"/>
      <c r="E63" s="633"/>
      <c r="F63" s="633"/>
      <c r="G63" s="633"/>
      <c r="H63" s="633"/>
      <c r="I63" s="633"/>
      <c r="J63" s="633"/>
      <c r="K63" s="633"/>
      <c r="L63" s="633"/>
    </row>
    <row r="64" spans="2:12" ht="15.75">
      <c r="B64" s="632" t="s">
        <v>422</v>
      </c>
      <c r="C64" s="630"/>
      <c r="D64" s="633"/>
      <c r="E64" s="633"/>
      <c r="F64" s="633"/>
      <c r="G64" s="633"/>
      <c r="H64" s="633"/>
      <c r="I64" s="633"/>
      <c r="J64" s="633"/>
      <c r="K64" s="633"/>
      <c r="L64" s="633"/>
    </row>
    <row r="65" spans="2:12" ht="12.75" customHeight="1">
      <c r="B65" s="633"/>
      <c r="C65" s="633"/>
      <c r="D65" s="633"/>
      <c r="E65" s="633"/>
      <c r="F65" s="633"/>
      <c r="G65" s="633"/>
      <c r="H65" s="633"/>
      <c r="I65" s="633"/>
      <c r="J65" s="633"/>
      <c r="K65" s="633"/>
      <c r="L65" s="633"/>
    </row>
    <row r="66" spans="2:12" ht="12.75">
      <c r="B66" s="635" t="s">
        <v>6</v>
      </c>
      <c r="C66" s="635" t="s">
        <v>3</v>
      </c>
      <c r="D66" s="635" t="s">
        <v>4</v>
      </c>
      <c r="E66" s="635" t="s">
        <v>7</v>
      </c>
      <c r="F66" s="635" t="s">
        <v>49</v>
      </c>
      <c r="G66" s="635" t="s">
        <v>296</v>
      </c>
      <c r="H66" s="633"/>
      <c r="I66" s="633"/>
      <c r="J66" s="733"/>
      <c r="K66" s="633"/>
      <c r="L66" s="633"/>
    </row>
    <row r="67" spans="2:12" ht="12.75">
      <c r="B67" s="658"/>
      <c r="C67" s="658"/>
      <c r="D67" s="658"/>
      <c r="E67" s="658" t="s">
        <v>86</v>
      </c>
      <c r="F67" s="658" t="s">
        <v>51</v>
      </c>
      <c r="G67" s="658"/>
      <c r="H67" s="633"/>
      <c r="I67" s="633"/>
      <c r="J67" s="733"/>
      <c r="K67" s="633"/>
      <c r="L67" s="633"/>
    </row>
    <row r="68" spans="2:17" ht="12.75">
      <c r="B68" s="640" t="s">
        <v>11</v>
      </c>
      <c r="C68" s="640" t="s">
        <v>9</v>
      </c>
      <c r="D68" s="640" t="s">
        <v>10</v>
      </c>
      <c r="E68" s="641" t="s">
        <v>12</v>
      </c>
      <c r="F68" s="660" t="s">
        <v>87</v>
      </c>
      <c r="G68" s="848">
        <f>+'(3) Reposición'!G69*1.12</f>
        <v>0.33151104</v>
      </c>
      <c r="H68" s="633"/>
      <c r="I68" s="630"/>
      <c r="J68" s="630"/>
      <c r="K68" s="630"/>
      <c r="L68" s="630"/>
      <c r="N68" s="443">
        <f>+G68/'(3) Reposición'!G69</f>
        <v>1.12</v>
      </c>
      <c r="O68" s="442"/>
      <c r="P68" s="443"/>
      <c r="Q68" s="443"/>
    </row>
    <row r="69" spans="2:17" ht="12.75">
      <c r="B69" s="744"/>
      <c r="C69" s="744"/>
      <c r="D69" s="745"/>
      <c r="E69" s="745"/>
      <c r="F69" s="660" t="s">
        <v>88</v>
      </c>
      <c r="G69" s="848">
        <f>+'(3) Reposición'!G70*1.12</f>
        <v>0.3729499200000001</v>
      </c>
      <c r="H69" s="633"/>
      <c r="I69" s="630"/>
      <c r="J69" s="630"/>
      <c r="K69" s="630"/>
      <c r="L69" s="630"/>
      <c r="N69" s="443">
        <f>+G69/'(3) Reposición'!G70</f>
        <v>1.12</v>
      </c>
      <c r="O69" s="442"/>
      <c r="P69" s="443"/>
      <c r="Q69" s="443"/>
    </row>
    <row r="70" spans="2:17" ht="12.75">
      <c r="B70" s="643"/>
      <c r="C70" s="643"/>
      <c r="D70" s="640" t="s">
        <v>14</v>
      </c>
      <c r="E70" s="641" t="s">
        <v>15</v>
      </c>
      <c r="F70" s="660" t="s">
        <v>87</v>
      </c>
      <c r="G70" s="848">
        <f>+'(3) Reposición'!G71*1.12</f>
        <v>0.3729499200000001</v>
      </c>
      <c r="H70" s="633"/>
      <c r="I70" s="630"/>
      <c r="J70" s="630"/>
      <c r="K70" s="630"/>
      <c r="L70" s="630"/>
      <c r="N70" s="443">
        <f>+G70/'(3) Reposición'!G71</f>
        <v>1.12</v>
      </c>
      <c r="O70" s="442"/>
      <c r="P70" s="443"/>
      <c r="Q70" s="442"/>
    </row>
    <row r="71" spans="2:17" ht="12.75">
      <c r="B71" s="745"/>
      <c r="C71" s="745"/>
      <c r="D71" s="745"/>
      <c r="E71" s="662"/>
      <c r="F71" s="660" t="s">
        <v>88</v>
      </c>
      <c r="G71" s="848">
        <f>+'(3) Reposición'!G72*1.12</f>
        <v>0.3729499200000001</v>
      </c>
      <c r="H71" s="633"/>
      <c r="I71" s="630"/>
      <c r="J71" s="630"/>
      <c r="K71" s="630"/>
      <c r="L71" s="630"/>
      <c r="N71" s="443">
        <f>+G71/'(3) Reposición'!G72</f>
        <v>1.12</v>
      </c>
      <c r="O71" s="442"/>
      <c r="P71" s="443"/>
      <c r="Q71" s="442"/>
    </row>
    <row r="72" spans="2:17" ht="12.75">
      <c r="B72" s="640" t="s">
        <v>18</v>
      </c>
      <c r="C72" s="640" t="s">
        <v>16</v>
      </c>
      <c r="D72" s="663" t="s">
        <v>17</v>
      </c>
      <c r="E72" s="664" t="s">
        <v>19</v>
      </c>
      <c r="F72" s="663" t="s">
        <v>60</v>
      </c>
      <c r="G72" s="848">
        <f>+'(3) Reposición'!G73*1.12</f>
        <v>0.6492091200000001</v>
      </c>
      <c r="H72" s="633"/>
      <c r="I72" s="630"/>
      <c r="J72" s="630"/>
      <c r="K72" s="630"/>
      <c r="L72" s="630"/>
      <c r="N72" s="443">
        <f>+G72/'(3) Reposición'!G73</f>
        <v>1.12</v>
      </c>
      <c r="O72" s="442"/>
      <c r="P72" s="443"/>
      <c r="Q72" s="442"/>
    </row>
    <row r="73" spans="2:17" ht="12.75" customHeight="1">
      <c r="B73" s="647"/>
      <c r="C73" s="647"/>
      <c r="D73" s="663" t="s">
        <v>21</v>
      </c>
      <c r="E73" s="666" t="s">
        <v>22</v>
      </c>
      <c r="F73" s="663" t="s">
        <v>60</v>
      </c>
      <c r="G73" s="848">
        <f>+'(3) Reposición'!G74*1.12</f>
        <v>0.7044609600000001</v>
      </c>
      <c r="H73" s="633"/>
      <c r="I73" s="630"/>
      <c r="J73" s="630"/>
      <c r="K73" s="630"/>
      <c r="L73" s="630"/>
      <c r="N73" s="443">
        <f>+G73/'(3) Reposición'!G74</f>
        <v>1.12</v>
      </c>
      <c r="O73" s="442"/>
      <c r="P73" s="443"/>
      <c r="Q73" s="727"/>
    </row>
    <row r="74" spans="2:12" ht="12.75">
      <c r="B74" s="733" t="s">
        <v>281</v>
      </c>
      <c r="C74" s="733"/>
      <c r="D74" s="733"/>
      <c r="E74" s="733"/>
      <c r="F74" s="733"/>
      <c r="G74" s="733"/>
      <c r="H74" s="733"/>
      <c r="I74" s="733"/>
      <c r="J74" s="733"/>
      <c r="K74" s="733"/>
      <c r="L74" s="733"/>
    </row>
    <row r="75" spans="2:12" ht="12.75">
      <c r="B75" s="733"/>
      <c r="C75" s="733"/>
      <c r="D75" s="733"/>
      <c r="E75" s="733"/>
      <c r="F75" s="733"/>
      <c r="G75" s="733"/>
      <c r="H75" s="733"/>
      <c r="I75" s="733"/>
      <c r="J75" s="733"/>
      <c r="K75" s="733"/>
      <c r="L75" s="733"/>
    </row>
    <row r="76" spans="2:12" ht="12.75">
      <c r="B76" s="733"/>
      <c r="C76" s="733"/>
      <c r="D76" s="733"/>
      <c r="E76" s="733"/>
      <c r="F76" s="733"/>
      <c r="G76" s="733"/>
      <c r="H76" s="733"/>
      <c r="I76" s="733"/>
      <c r="J76" s="733"/>
      <c r="K76" s="733"/>
      <c r="L76" s="733"/>
    </row>
    <row r="77" spans="2:12" ht="15.75">
      <c r="B77" s="632" t="s">
        <v>423</v>
      </c>
      <c r="C77" s="630"/>
      <c r="D77" s="733"/>
      <c r="E77" s="733"/>
      <c r="F77" s="733"/>
      <c r="G77" s="733"/>
      <c r="H77" s="733"/>
      <c r="I77" s="733"/>
      <c r="J77" s="733"/>
      <c r="K77" s="733"/>
      <c r="L77" s="733"/>
    </row>
    <row r="78" spans="2:12" ht="12.75">
      <c r="B78" s="733"/>
      <c r="C78" s="733"/>
      <c r="D78" s="633"/>
      <c r="E78" s="633"/>
      <c r="F78" s="633"/>
      <c r="G78" s="633"/>
      <c r="H78" s="633"/>
      <c r="I78" s="633"/>
      <c r="J78" s="633"/>
      <c r="K78" s="633"/>
      <c r="L78" s="633"/>
    </row>
    <row r="79" spans="2:12" ht="12.75" customHeight="1">
      <c r="B79" s="635" t="s">
        <v>6</v>
      </c>
      <c r="C79" s="635" t="s">
        <v>3</v>
      </c>
      <c r="D79" s="669" t="s">
        <v>4</v>
      </c>
      <c r="E79" s="635" t="s">
        <v>7</v>
      </c>
      <c r="F79" s="635" t="s">
        <v>49</v>
      </c>
      <c r="G79" s="669" t="s">
        <v>1</v>
      </c>
      <c r="H79" s="635" t="s">
        <v>2</v>
      </c>
      <c r="I79" s="630"/>
      <c r="J79" s="630"/>
      <c r="K79" s="630"/>
      <c r="L79" s="630"/>
    </row>
    <row r="80" spans="2:12" ht="12.75" customHeight="1">
      <c r="B80" s="658"/>
      <c r="C80" s="658"/>
      <c r="D80" s="670"/>
      <c r="E80" s="658" t="s">
        <v>86</v>
      </c>
      <c r="F80" s="658" t="s">
        <v>51</v>
      </c>
      <c r="G80" s="746" t="s">
        <v>280</v>
      </c>
      <c r="H80" s="659" t="s">
        <v>285</v>
      </c>
      <c r="I80" s="630"/>
      <c r="J80" s="630"/>
      <c r="K80" s="630"/>
      <c r="L80" s="630"/>
    </row>
    <row r="81" spans="2:15" ht="12.75">
      <c r="B81" s="640" t="s">
        <v>18</v>
      </c>
      <c r="C81" s="640" t="s">
        <v>16</v>
      </c>
      <c r="D81" s="687" t="s">
        <v>17</v>
      </c>
      <c r="E81" s="641" t="s">
        <v>19</v>
      </c>
      <c r="F81" s="642" t="s">
        <v>63</v>
      </c>
      <c r="G81" s="849">
        <f>+'(3) Reposición'!G82*1.12</f>
        <v>0.8425905600000001</v>
      </c>
      <c r="H81" s="849">
        <f>+'(3) Reposición'!H82*1.12</f>
        <v>0.9807201600000001</v>
      </c>
      <c r="I81" s="630"/>
      <c r="J81" s="630"/>
      <c r="K81" s="630"/>
      <c r="L81" s="630"/>
      <c r="N81" s="441">
        <f>+G81/'(3) Reposición'!G82</f>
        <v>1.12</v>
      </c>
      <c r="O81" s="441">
        <f>+H81/'(3) Reposición'!H82</f>
        <v>1.12</v>
      </c>
    </row>
    <row r="82" spans="2:15" ht="12.75">
      <c r="B82" s="643"/>
      <c r="C82" s="643"/>
      <c r="D82" s="738"/>
      <c r="E82" s="645"/>
      <c r="F82" s="642" t="s">
        <v>60</v>
      </c>
      <c r="G82" s="849">
        <f>+'(3) Reposición'!G83*1.12</f>
        <v>0.6077702400000001</v>
      </c>
      <c r="H82" s="849">
        <f>+'(3) Reposición'!H83*1.12</f>
        <v>0.78733872</v>
      </c>
      <c r="I82" s="630"/>
      <c r="J82" s="630"/>
      <c r="K82" s="630"/>
      <c r="L82" s="630"/>
      <c r="N82" s="441">
        <f>+G82/'(3) Reposición'!G83</f>
        <v>1.12</v>
      </c>
      <c r="O82" s="441">
        <f>+H82/'(3) Reposición'!H83</f>
        <v>1.12</v>
      </c>
    </row>
    <row r="83" spans="2:15" ht="12.75">
      <c r="B83" s="643"/>
      <c r="C83" s="643"/>
      <c r="D83" s="738"/>
      <c r="E83" s="645"/>
      <c r="F83" s="642" t="s">
        <v>56</v>
      </c>
      <c r="G83" s="849">
        <f>+'(3) Reposición'!G84*1.12</f>
        <v>0.19338144000000007</v>
      </c>
      <c r="H83" s="849">
        <f>+'(3) Reposición'!H84*1.12</f>
        <v>0.33151104</v>
      </c>
      <c r="I83" s="630"/>
      <c r="J83" s="630"/>
      <c r="K83" s="630"/>
      <c r="L83" s="630"/>
      <c r="N83" s="441">
        <f>+G83/'(3) Reposición'!G84</f>
        <v>1.12</v>
      </c>
      <c r="O83" s="441">
        <f>+H83/'(3) Reposición'!H84</f>
        <v>1.12</v>
      </c>
    </row>
    <row r="84" spans="2:15" ht="12.75">
      <c r="B84" s="643"/>
      <c r="C84" s="643"/>
      <c r="D84" s="738"/>
      <c r="E84" s="645"/>
      <c r="F84" s="642" t="s">
        <v>272</v>
      </c>
      <c r="G84" s="849">
        <f>+'(3) Reposición'!G85*1.12</f>
        <v>1.0221590400000002</v>
      </c>
      <c r="H84" s="849">
        <f>+'(3) Reposición'!H85*1.12</f>
        <v>1.1602886400000003</v>
      </c>
      <c r="I84" s="630"/>
      <c r="J84" s="630"/>
      <c r="K84" s="630"/>
      <c r="L84" s="630"/>
      <c r="N84" s="441">
        <f>+G84/'(3) Reposición'!G85</f>
        <v>1.12</v>
      </c>
      <c r="O84" s="441">
        <f>+H84/'(3) Reposición'!H85</f>
        <v>1.12</v>
      </c>
    </row>
    <row r="85" spans="2:15" ht="12.75">
      <c r="B85" s="643"/>
      <c r="C85" s="643"/>
      <c r="D85" s="739" t="s">
        <v>21</v>
      </c>
      <c r="E85" s="740" t="s">
        <v>22</v>
      </c>
      <c r="F85" s="642" t="s">
        <v>63</v>
      </c>
      <c r="G85" s="849">
        <f>+'(3) Reposición'!G86*1.12</f>
        <v>0.8425905600000001</v>
      </c>
      <c r="H85" s="849">
        <f>+'(3) Reposición'!H86*1.12</f>
        <v>0.9807201600000001</v>
      </c>
      <c r="I85" s="630"/>
      <c r="J85" s="630"/>
      <c r="K85" s="630"/>
      <c r="L85" s="630"/>
      <c r="N85" s="441">
        <f>+G85/'(3) Reposición'!G86</f>
        <v>1.12</v>
      </c>
      <c r="O85" s="441">
        <f>+H85/'(3) Reposición'!H86</f>
        <v>1.12</v>
      </c>
    </row>
    <row r="86" spans="2:15" ht="12.75">
      <c r="B86" s="643"/>
      <c r="C86" s="643"/>
      <c r="D86" s="738"/>
      <c r="E86" s="645"/>
      <c r="F86" s="642" t="s">
        <v>60</v>
      </c>
      <c r="G86" s="849">
        <f>+'(3) Reposición'!G87*1.12</f>
        <v>0.6077702400000001</v>
      </c>
      <c r="H86" s="849">
        <f>+'(3) Reposición'!H87*1.12</f>
        <v>0.78733872</v>
      </c>
      <c r="I86" s="630"/>
      <c r="J86" s="630"/>
      <c r="K86" s="630"/>
      <c r="L86" s="630"/>
      <c r="N86" s="441">
        <f>+G86/'(3) Reposición'!G87</f>
        <v>1.12</v>
      </c>
      <c r="O86" s="441">
        <f>+H86/'(3) Reposición'!H87</f>
        <v>1.12</v>
      </c>
    </row>
    <row r="87" spans="2:15" ht="12.75">
      <c r="B87" s="643"/>
      <c r="C87" s="643"/>
      <c r="D87" s="738"/>
      <c r="E87" s="645"/>
      <c r="F87" s="642" t="s">
        <v>56</v>
      </c>
      <c r="G87" s="849">
        <f>+'(3) Reposición'!G88*1.12</f>
        <v>0.19338144000000007</v>
      </c>
      <c r="H87" s="849">
        <f>+'(3) Reposición'!H88*1.12</f>
        <v>0.33151104</v>
      </c>
      <c r="I87" s="630"/>
      <c r="J87" s="630"/>
      <c r="K87" s="630"/>
      <c r="L87" s="630"/>
      <c r="N87" s="441">
        <f>+G87/'(3) Reposición'!G88</f>
        <v>1.12</v>
      </c>
      <c r="O87" s="441">
        <f>+H87/'(3) Reposición'!H88</f>
        <v>1.12</v>
      </c>
    </row>
    <row r="88" spans="2:15" ht="12.75">
      <c r="B88" s="643"/>
      <c r="C88" s="643"/>
      <c r="D88" s="738"/>
      <c r="E88" s="645"/>
      <c r="F88" s="642" t="s">
        <v>272</v>
      </c>
      <c r="G88" s="849">
        <f>+'(3) Reposición'!G89*1.12</f>
        <v>1.0221590400000002</v>
      </c>
      <c r="H88" s="849">
        <f>+'(3) Reposición'!H89*1.12</f>
        <v>1.1602886400000003</v>
      </c>
      <c r="I88" s="630"/>
      <c r="J88" s="630"/>
      <c r="K88" s="630"/>
      <c r="L88" s="630"/>
      <c r="N88" s="441">
        <f>+G88/'(3) Reposición'!G89</f>
        <v>1.12</v>
      </c>
      <c r="O88" s="441">
        <f>+H88/'(3) Reposición'!H89</f>
        <v>1.12</v>
      </c>
    </row>
    <row r="89" spans="2:15" ht="12.75">
      <c r="B89" s="643"/>
      <c r="C89" s="734" t="s">
        <v>23</v>
      </c>
      <c r="D89" s="741" t="s">
        <v>24</v>
      </c>
      <c r="E89" s="740" t="s">
        <v>25</v>
      </c>
      <c r="F89" s="642" t="s">
        <v>273</v>
      </c>
      <c r="G89" s="849">
        <f>+'(3) Reposición'!G90*1.12</f>
        <v>1.31802944</v>
      </c>
      <c r="H89" s="849">
        <f>+'(3) Reposición'!H90*1.12</f>
        <v>1.5208032000000002</v>
      </c>
      <c r="I89" s="630"/>
      <c r="J89" s="630"/>
      <c r="K89" s="630"/>
      <c r="L89" s="630"/>
      <c r="N89" s="441">
        <f>+G89/'(3) Reposición'!G90</f>
        <v>1.12</v>
      </c>
      <c r="O89" s="441">
        <f>+H89/'(3) Reposición'!H90</f>
        <v>1.12</v>
      </c>
    </row>
    <row r="90" spans="2:15" ht="12.75">
      <c r="B90" s="643"/>
      <c r="C90" s="640" t="s">
        <v>26</v>
      </c>
      <c r="D90" s="741" t="s">
        <v>27</v>
      </c>
      <c r="E90" s="740" t="s">
        <v>28</v>
      </c>
      <c r="F90" s="642" t="s">
        <v>272</v>
      </c>
      <c r="G90" s="849">
        <f>+'(3) Reposición'!G91*1.12</f>
        <v>1.4194163199999998</v>
      </c>
      <c r="H90" s="849">
        <f>+'(3) Reposición'!H91*1.12</f>
        <v>1.6656415999999998</v>
      </c>
      <c r="I90" s="630"/>
      <c r="J90" s="630"/>
      <c r="K90" s="630"/>
      <c r="L90" s="630"/>
      <c r="N90" s="441">
        <f>+G90/'(3) Reposición'!G91</f>
        <v>1.12</v>
      </c>
      <c r="O90" s="441">
        <f>+H90/'(3) Reposición'!H91</f>
        <v>1.12</v>
      </c>
    </row>
    <row r="91" spans="2:15" ht="12.75">
      <c r="B91" s="643"/>
      <c r="C91" s="643"/>
      <c r="D91" s="741" t="s">
        <v>29</v>
      </c>
      <c r="E91" s="740" t="s">
        <v>30</v>
      </c>
      <c r="F91" s="642" t="s">
        <v>272</v>
      </c>
      <c r="G91" s="849"/>
      <c r="H91" s="849">
        <f>+'(3) Reposición'!H92*1.12</f>
        <v>2.15809216</v>
      </c>
      <c r="I91" s="630"/>
      <c r="J91" s="630"/>
      <c r="K91" s="630"/>
      <c r="L91" s="630"/>
      <c r="O91" s="441">
        <f>+H91/'(3) Reposición'!H92</f>
        <v>1.12</v>
      </c>
    </row>
    <row r="92" spans="2:15" ht="12.75">
      <c r="B92" s="643"/>
      <c r="C92" s="643"/>
      <c r="D92" s="741" t="s">
        <v>31</v>
      </c>
      <c r="E92" s="740" t="s">
        <v>32</v>
      </c>
      <c r="F92" s="642" t="s">
        <v>272</v>
      </c>
      <c r="G92" s="849"/>
      <c r="H92" s="849">
        <f>+'(3) Reposición'!H93*1.12</f>
        <v>2.9402195199999994</v>
      </c>
      <c r="I92" s="630"/>
      <c r="J92" s="630"/>
      <c r="K92" s="630"/>
      <c r="L92" s="630"/>
      <c r="O92" s="441">
        <f>+H92/'(3) Reposición'!H93</f>
        <v>1.12</v>
      </c>
    </row>
    <row r="93" spans="2:19" ht="12.75">
      <c r="B93" s="647"/>
      <c r="C93" s="647"/>
      <c r="D93" s="742" t="s">
        <v>33</v>
      </c>
      <c r="E93" s="743" t="s">
        <v>34</v>
      </c>
      <c r="F93" s="642" t="s">
        <v>272</v>
      </c>
      <c r="G93" s="849"/>
      <c r="H93" s="849">
        <f>+'(3) Reposición'!H94*1.12</f>
        <v>3.22989632</v>
      </c>
      <c r="I93" s="630"/>
      <c r="J93" s="630"/>
      <c r="K93" s="630"/>
      <c r="L93" s="630"/>
      <c r="O93" s="441">
        <f>+H93/'(3) Reposición'!H94</f>
        <v>1.12</v>
      </c>
      <c r="S93" s="728"/>
    </row>
    <row r="94" spans="2:12" ht="12.75">
      <c r="B94" s="747" t="s">
        <v>283</v>
      </c>
      <c r="C94" s="644"/>
      <c r="D94" s="644"/>
      <c r="E94" s="748"/>
      <c r="F94" s="689"/>
      <c r="G94" s="749"/>
      <c r="H94" s="749"/>
      <c r="I94" s="630"/>
      <c r="J94" s="630"/>
      <c r="K94" s="630"/>
      <c r="L94" s="630"/>
    </row>
    <row r="95" spans="2:12" ht="12.75">
      <c r="B95" s="747" t="s">
        <v>284</v>
      </c>
      <c r="C95" s="644"/>
      <c r="D95" s="644"/>
      <c r="E95" s="748"/>
      <c r="F95" s="689"/>
      <c r="G95" s="749"/>
      <c r="H95" s="749"/>
      <c r="I95" s="630"/>
      <c r="J95" s="630"/>
      <c r="K95" s="630"/>
      <c r="L95" s="630"/>
    </row>
    <row r="96" spans="2:12" ht="12.75">
      <c r="B96" s="747"/>
      <c r="C96" s="644"/>
      <c r="D96" s="644"/>
      <c r="E96" s="748"/>
      <c r="F96" s="689"/>
      <c r="G96" s="749"/>
      <c r="H96" s="749"/>
      <c r="I96" s="630"/>
      <c r="J96" s="630"/>
      <c r="K96" s="630"/>
      <c r="L96" s="630"/>
    </row>
    <row r="97" spans="2:12" ht="12.75">
      <c r="B97" s="644"/>
      <c r="C97" s="644"/>
      <c r="D97" s="644"/>
      <c r="E97" s="748"/>
      <c r="F97" s="689"/>
      <c r="G97" s="749"/>
      <c r="H97" s="749"/>
      <c r="I97" s="630"/>
      <c r="J97" s="630"/>
      <c r="K97" s="630"/>
      <c r="L97" s="630"/>
    </row>
    <row r="98" spans="2:12" ht="15.75">
      <c r="B98" s="632" t="s">
        <v>424</v>
      </c>
      <c r="C98" s="630"/>
      <c r="D98" s="633"/>
      <c r="E98" s="633"/>
      <c r="F98" s="633"/>
      <c r="G98" s="633"/>
      <c r="H98" s="633"/>
      <c r="I98" s="633"/>
      <c r="J98" s="633"/>
      <c r="K98" s="633"/>
      <c r="L98" s="633"/>
    </row>
    <row r="99" spans="2:12" ht="12.75" customHeight="1">
      <c r="B99" s="633"/>
      <c r="C99" s="633"/>
      <c r="D99" s="633"/>
      <c r="E99" s="633"/>
      <c r="F99" s="633"/>
      <c r="G99" s="633"/>
      <c r="H99" s="633"/>
      <c r="I99" s="633"/>
      <c r="J99" s="733"/>
      <c r="K99" s="633"/>
      <c r="L99" s="633"/>
    </row>
    <row r="100" spans="2:12" ht="12.75">
      <c r="B100" s="635" t="s">
        <v>6</v>
      </c>
      <c r="C100" s="635" t="s">
        <v>3</v>
      </c>
      <c r="D100" s="635" t="s">
        <v>4</v>
      </c>
      <c r="E100" s="635" t="s">
        <v>7</v>
      </c>
      <c r="F100" s="635" t="s">
        <v>49</v>
      </c>
      <c r="G100" s="635" t="s">
        <v>296</v>
      </c>
      <c r="H100" s="633"/>
      <c r="I100" s="633"/>
      <c r="J100" s="733"/>
      <c r="K100" s="633"/>
      <c r="L100" s="633"/>
    </row>
    <row r="101" spans="2:12" ht="12.75">
      <c r="B101" s="658"/>
      <c r="C101" s="658"/>
      <c r="D101" s="658"/>
      <c r="E101" s="658" t="s">
        <v>86</v>
      </c>
      <c r="F101" s="658" t="s">
        <v>51</v>
      </c>
      <c r="G101" s="658"/>
      <c r="H101" s="633"/>
      <c r="I101" s="633"/>
      <c r="J101" s="733"/>
      <c r="K101" s="633"/>
      <c r="L101" s="633"/>
    </row>
    <row r="102" spans="2:16" ht="12.75">
      <c r="B102" s="640" t="s">
        <v>18</v>
      </c>
      <c r="C102" s="640" t="s">
        <v>16</v>
      </c>
      <c r="D102" s="663" t="s">
        <v>17</v>
      </c>
      <c r="E102" s="664" t="s">
        <v>19</v>
      </c>
      <c r="F102" s="663" t="s">
        <v>60</v>
      </c>
      <c r="G102" s="848">
        <f>+'(3) Reposición'!G103*1.12</f>
        <v>0.6492091200000001</v>
      </c>
      <c r="H102" s="633"/>
      <c r="I102" s="633"/>
      <c r="J102" s="630"/>
      <c r="K102" s="630"/>
      <c r="L102" s="630"/>
      <c r="N102" s="442">
        <f>+G102/'(3) Reposición'!G103</f>
        <v>1.12</v>
      </c>
      <c r="O102" s="443"/>
      <c r="P102" s="443"/>
    </row>
    <row r="103" spans="2:16" ht="12.75">
      <c r="B103" s="647"/>
      <c r="C103" s="647"/>
      <c r="D103" s="663" t="s">
        <v>21</v>
      </c>
      <c r="E103" s="666" t="s">
        <v>22</v>
      </c>
      <c r="F103" s="663" t="s">
        <v>60</v>
      </c>
      <c r="G103" s="848">
        <f>+'(3) Reposición'!G104*1.12</f>
        <v>0.7044609600000001</v>
      </c>
      <c r="H103" s="633"/>
      <c r="I103" s="633"/>
      <c r="J103" s="630"/>
      <c r="K103" s="630"/>
      <c r="L103" s="630"/>
      <c r="N103" s="442">
        <f>+G103/'(3) Reposición'!G104</f>
        <v>1.12</v>
      </c>
      <c r="O103" s="443"/>
      <c r="P103" s="729"/>
    </row>
    <row r="104" spans="2:12" ht="12.75">
      <c r="B104" s="630" t="s">
        <v>281</v>
      </c>
      <c r="C104" s="630"/>
      <c r="D104" s="630"/>
      <c r="E104" s="630"/>
      <c r="F104" s="630"/>
      <c r="G104" s="633"/>
      <c r="H104" s="633"/>
      <c r="I104" s="633"/>
      <c r="J104" s="630"/>
      <c r="K104" s="630"/>
      <c r="L104" s="630"/>
    </row>
    <row r="105" spans="2:12" ht="12.75">
      <c r="B105" s="630"/>
      <c r="C105" s="630"/>
      <c r="D105" s="630"/>
      <c r="E105" s="630"/>
      <c r="F105" s="630"/>
      <c r="G105" s="633"/>
      <c r="H105" s="633"/>
      <c r="I105" s="633"/>
      <c r="J105" s="630"/>
      <c r="K105" s="630"/>
      <c r="L105" s="630"/>
    </row>
    <row r="106" spans="2:12" ht="12.75">
      <c r="B106" s="630"/>
      <c r="C106" s="630"/>
      <c r="D106" s="630"/>
      <c r="E106" s="630"/>
      <c r="F106" s="630"/>
      <c r="G106" s="630"/>
      <c r="H106" s="630"/>
      <c r="I106" s="630"/>
      <c r="J106" s="630"/>
      <c r="K106" s="630"/>
      <c r="L106" s="630"/>
    </row>
    <row r="107" spans="2:12" ht="15.75">
      <c r="B107" s="632" t="s">
        <v>425</v>
      </c>
      <c r="C107" s="750"/>
      <c r="D107" s="750"/>
      <c r="E107" s="750"/>
      <c r="F107" s="750"/>
      <c r="G107" s="750"/>
      <c r="H107" s="750"/>
      <c r="I107" s="630"/>
      <c r="J107" s="630"/>
      <c r="K107" s="630"/>
      <c r="L107" s="630"/>
    </row>
    <row r="108" spans="2:12" ht="12.75">
      <c r="B108" s="750"/>
      <c r="C108" s="750"/>
      <c r="D108" s="633"/>
      <c r="E108" s="633"/>
      <c r="F108" s="633"/>
      <c r="G108" s="633"/>
      <c r="H108" s="633"/>
      <c r="I108" s="630"/>
      <c r="J108" s="630"/>
      <c r="K108" s="630"/>
      <c r="L108" s="630"/>
    </row>
    <row r="109" spans="2:12" ht="12.75">
      <c r="B109" s="635" t="s">
        <v>6</v>
      </c>
      <c r="C109" s="635" t="s">
        <v>3</v>
      </c>
      <c r="D109" s="669" t="s">
        <v>4</v>
      </c>
      <c r="E109" s="635" t="s">
        <v>7</v>
      </c>
      <c r="F109" s="635" t="s">
        <v>49</v>
      </c>
      <c r="G109" s="669" t="s">
        <v>1</v>
      </c>
      <c r="H109" s="635" t="s">
        <v>2</v>
      </c>
      <c r="I109" s="630"/>
      <c r="J109" s="630"/>
      <c r="K109" s="630"/>
      <c r="L109" s="630"/>
    </row>
    <row r="110" spans="2:12" ht="12.75">
      <c r="B110" s="658"/>
      <c r="C110" s="658"/>
      <c r="D110" s="670"/>
      <c r="E110" s="658" t="s">
        <v>86</v>
      </c>
      <c r="F110" s="658" t="s">
        <v>51</v>
      </c>
      <c r="G110" s="671" t="s">
        <v>274</v>
      </c>
      <c r="H110" s="639" t="s">
        <v>275</v>
      </c>
      <c r="I110" s="630"/>
      <c r="J110" s="630"/>
      <c r="K110" s="630"/>
      <c r="L110" s="630"/>
    </row>
    <row r="111" spans="2:15" ht="12.75">
      <c r="B111" s="640" t="s">
        <v>11</v>
      </c>
      <c r="C111" s="672" t="s">
        <v>9</v>
      </c>
      <c r="D111" s="673" t="s">
        <v>10</v>
      </c>
      <c r="E111" s="641" t="s">
        <v>12</v>
      </c>
      <c r="F111" s="642" t="s">
        <v>149</v>
      </c>
      <c r="G111" s="849">
        <f>+'(3) Reposición'!G112*1.12</f>
        <v>1.1602886400000003</v>
      </c>
      <c r="H111" s="849">
        <f>+'(3) Reposición'!H112*1.12</f>
        <v>1.3122312</v>
      </c>
      <c r="I111" s="630"/>
      <c r="J111" s="630"/>
      <c r="K111" s="630"/>
      <c r="L111" s="630"/>
      <c r="N111" s="441">
        <f>+G111/'(3) Reposición'!G112</f>
        <v>1.12</v>
      </c>
      <c r="O111" s="441">
        <f>+H111/'(3) Reposición'!H112</f>
        <v>1.12</v>
      </c>
    </row>
    <row r="112" spans="2:15" ht="12.75">
      <c r="B112" s="643"/>
      <c r="C112" s="674"/>
      <c r="D112" s="675"/>
      <c r="E112" s="645"/>
      <c r="F112" s="642" t="s">
        <v>288</v>
      </c>
      <c r="G112" s="849">
        <f>+'(3) Reposición'!G113*1.12</f>
        <v>1.1602886400000003</v>
      </c>
      <c r="H112" s="849"/>
      <c r="I112" s="630"/>
      <c r="J112" s="630"/>
      <c r="K112" s="630"/>
      <c r="L112" s="630"/>
      <c r="N112" s="441">
        <f>+G112/'(3) Reposición'!G113</f>
        <v>1.12</v>
      </c>
      <c r="O112" s="441" t="e">
        <f>+H112/'(3) Reposición'!H113</f>
        <v>#DIV/0!</v>
      </c>
    </row>
    <row r="113" spans="2:15" ht="12.75">
      <c r="B113" s="643"/>
      <c r="C113" s="674"/>
      <c r="D113" s="675"/>
      <c r="E113" s="645"/>
      <c r="F113" s="642" t="s">
        <v>150</v>
      </c>
      <c r="G113" s="849">
        <f>+'(3) Reposición'!G114*1.12</f>
        <v>1.8233107200000003</v>
      </c>
      <c r="H113" s="849">
        <f>+'(3) Reposición'!H114*1.12</f>
        <v>1.8647496000000003</v>
      </c>
      <c r="I113" s="630"/>
      <c r="J113" s="630"/>
      <c r="K113" s="630"/>
      <c r="L113" s="630"/>
      <c r="N113" s="441">
        <f>+G113/'(3) Reposición'!G114</f>
        <v>1.12</v>
      </c>
      <c r="O113" s="441">
        <f>+H113/'(3) Reposición'!H114</f>
        <v>1.12</v>
      </c>
    </row>
    <row r="114" spans="2:15" ht="12.75">
      <c r="B114" s="643"/>
      <c r="C114" s="674"/>
      <c r="D114" s="675"/>
      <c r="E114" s="645"/>
      <c r="F114" s="642" t="s">
        <v>289</v>
      </c>
      <c r="G114" s="849">
        <f>+'(3) Reposición'!G115*1.12</f>
        <v>1.8647496000000003</v>
      </c>
      <c r="H114" s="849"/>
      <c r="I114" s="630"/>
      <c r="J114" s="630"/>
      <c r="K114" s="630"/>
      <c r="L114" s="630"/>
      <c r="N114" s="441">
        <f>+G114/'(3) Reposición'!G115</f>
        <v>1.12</v>
      </c>
      <c r="O114" s="441" t="e">
        <f>+H114/'(3) Reposición'!H115</f>
        <v>#DIV/0!</v>
      </c>
    </row>
    <row r="115" spans="2:15" ht="12.75">
      <c r="B115" s="643"/>
      <c r="C115" s="674"/>
      <c r="D115" s="673" t="s">
        <v>14</v>
      </c>
      <c r="E115" s="641" t="s">
        <v>15</v>
      </c>
      <c r="F115" s="642" t="s">
        <v>149</v>
      </c>
      <c r="G115" s="849">
        <f>+'(3) Reposición'!G116*1.12</f>
        <v>1.1602886400000003</v>
      </c>
      <c r="H115" s="849">
        <f>+'(3) Reposición'!H116*1.12</f>
        <v>1.3122312</v>
      </c>
      <c r="I115" s="630"/>
      <c r="J115" s="630"/>
      <c r="K115" s="630"/>
      <c r="L115" s="630"/>
      <c r="N115" s="441">
        <f>+G115/'(3) Reposición'!G116</f>
        <v>1.12</v>
      </c>
      <c r="O115" s="441">
        <f>+H115/'(3) Reposición'!H116</f>
        <v>1.12</v>
      </c>
    </row>
    <row r="116" spans="2:19" ht="12.75">
      <c r="B116" s="647"/>
      <c r="C116" s="676"/>
      <c r="D116" s="677"/>
      <c r="E116" s="662"/>
      <c r="F116" s="642" t="s">
        <v>150</v>
      </c>
      <c r="G116" s="849">
        <f>+'(3) Reposición'!G117*1.12</f>
        <v>1.8233107200000003</v>
      </c>
      <c r="H116" s="849">
        <f>+'(3) Reposición'!H117*1.12</f>
        <v>1.8647496000000003</v>
      </c>
      <c r="I116" s="630"/>
      <c r="J116" s="630"/>
      <c r="K116" s="630"/>
      <c r="L116" s="630"/>
      <c r="N116" s="441">
        <f>+G116/'(3) Reposición'!G117</f>
        <v>1.12</v>
      </c>
      <c r="O116" s="441">
        <f>+H116/'(3) Reposición'!H117</f>
        <v>1.12</v>
      </c>
      <c r="S116" s="725"/>
    </row>
    <row r="117" spans="2:12" ht="12.75">
      <c r="B117" s="750" t="s">
        <v>276</v>
      </c>
      <c r="C117" s="750"/>
      <c r="D117" s="750"/>
      <c r="E117" s="750"/>
      <c r="F117" s="750"/>
      <c r="G117" s="750"/>
      <c r="H117" s="750"/>
      <c r="I117" s="630"/>
      <c r="J117" s="630"/>
      <c r="K117" s="630"/>
      <c r="L117" s="630"/>
    </row>
    <row r="118" spans="2:12" ht="12.75">
      <c r="B118" s="633" t="s">
        <v>277</v>
      </c>
      <c r="C118" s="750"/>
      <c r="D118" s="633"/>
      <c r="E118" s="633"/>
      <c r="F118" s="633"/>
      <c r="G118" s="633"/>
      <c r="H118" s="750"/>
      <c r="I118" s="630"/>
      <c r="J118" s="630"/>
      <c r="K118" s="630"/>
      <c r="L118" s="630"/>
    </row>
    <row r="119" spans="2:12" ht="12.75">
      <c r="B119" s="630" t="s">
        <v>278</v>
      </c>
      <c r="C119" s="630"/>
      <c r="D119" s="630"/>
      <c r="E119" s="630"/>
      <c r="F119" s="630"/>
      <c r="G119" s="630"/>
      <c r="H119" s="630"/>
      <c r="I119" s="630"/>
      <c r="J119" s="630"/>
      <c r="K119" s="630"/>
      <c r="L119" s="630"/>
    </row>
    <row r="120" spans="2:12" ht="12.75">
      <c r="B120" s="630"/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</row>
    <row r="121" spans="2:12" ht="12.75">
      <c r="B121" s="630"/>
      <c r="C121" s="630"/>
      <c r="D121" s="630"/>
      <c r="E121" s="630"/>
      <c r="F121" s="630"/>
      <c r="G121" s="630"/>
      <c r="H121" s="630"/>
      <c r="I121" s="630"/>
      <c r="J121" s="630"/>
      <c r="K121" s="630"/>
      <c r="L121" s="630"/>
    </row>
    <row r="122" spans="2:12" ht="15.75">
      <c r="B122" s="632" t="s">
        <v>426</v>
      </c>
      <c r="C122" s="630"/>
      <c r="D122" s="633"/>
      <c r="E122" s="633"/>
      <c r="F122" s="633"/>
      <c r="G122" s="633"/>
      <c r="H122" s="633"/>
      <c r="I122" s="633"/>
      <c r="J122" s="633"/>
      <c r="K122" s="633"/>
      <c r="L122" s="633"/>
    </row>
    <row r="123" spans="2:12" ht="12.75">
      <c r="B123" s="633"/>
      <c r="C123" s="633"/>
      <c r="D123" s="633"/>
      <c r="E123" s="633"/>
      <c r="F123" s="633"/>
      <c r="G123" s="633"/>
      <c r="H123" s="633"/>
      <c r="I123" s="633"/>
      <c r="J123" s="633"/>
      <c r="K123" s="633"/>
      <c r="L123" s="633"/>
    </row>
    <row r="124" spans="2:12" ht="12.75">
      <c r="B124" s="633"/>
      <c r="C124" s="633"/>
      <c r="D124" s="633"/>
      <c r="E124" s="633"/>
      <c r="F124" s="633"/>
      <c r="G124" s="680" t="s">
        <v>98</v>
      </c>
      <c r="H124" s="681"/>
      <c r="I124" s="682" t="s">
        <v>99</v>
      </c>
      <c r="J124" s="681"/>
      <c r="K124" s="682" t="s">
        <v>245</v>
      </c>
      <c r="L124" s="681"/>
    </row>
    <row r="125" spans="2:12" ht="12.75">
      <c r="B125" s="635" t="s">
        <v>6</v>
      </c>
      <c r="C125" s="635" t="s">
        <v>3</v>
      </c>
      <c r="D125" s="669" t="s">
        <v>4</v>
      </c>
      <c r="E125" s="636" t="s">
        <v>7</v>
      </c>
      <c r="F125" s="669" t="s">
        <v>49</v>
      </c>
      <c r="G125" s="635" t="s">
        <v>35</v>
      </c>
      <c r="H125" s="635" t="s">
        <v>36</v>
      </c>
      <c r="I125" s="635" t="s">
        <v>35</v>
      </c>
      <c r="J125" s="635" t="s">
        <v>36</v>
      </c>
      <c r="K125" s="635" t="s">
        <v>35</v>
      </c>
      <c r="L125" s="635" t="s">
        <v>36</v>
      </c>
    </row>
    <row r="126" spans="2:12" ht="12.75">
      <c r="B126" s="751"/>
      <c r="C126" s="752"/>
      <c r="D126" s="753"/>
      <c r="E126" s="754" t="s">
        <v>86</v>
      </c>
      <c r="F126" s="755" t="s">
        <v>51</v>
      </c>
      <c r="G126" s="861"/>
      <c r="H126" s="861"/>
      <c r="I126" s="861"/>
      <c r="J126" s="861"/>
      <c r="K126" s="861"/>
      <c r="L126" s="861"/>
    </row>
    <row r="127" spans="2:19" ht="12.75">
      <c r="B127" s="640" t="s">
        <v>18</v>
      </c>
      <c r="C127" s="640" t="s">
        <v>37</v>
      </c>
      <c r="D127" s="756" t="s">
        <v>38</v>
      </c>
      <c r="E127" s="641" t="s">
        <v>39</v>
      </c>
      <c r="F127" s="660" t="s">
        <v>291</v>
      </c>
      <c r="G127" s="849">
        <f>+'(3) Reposición'!G128*1.12</f>
        <v>7.8158808</v>
      </c>
      <c r="H127" s="849">
        <f>+'(3) Reposición'!H128*1.12</f>
        <v>17.51558928</v>
      </c>
      <c r="I127" s="849">
        <f>+'(3) Reposición'!I128*1.12</f>
        <v>8.71103296</v>
      </c>
      <c r="J127" s="849">
        <f>+'(3) Reposición'!J128*1.12</f>
        <v>20.134243360000003</v>
      </c>
      <c r="K127" s="849">
        <f>+'(3) Reposición'!K128*1.12</f>
        <v>9.566103680000001</v>
      </c>
      <c r="L127" s="849">
        <f>+'(3) Reposición'!L128*1.12</f>
        <v>22.352083040000004</v>
      </c>
      <c r="N127" s="441">
        <f>+G127/'(3) Reposición'!G128</f>
        <v>1.12</v>
      </c>
      <c r="O127" s="441">
        <f>+H127/'(3) Reposición'!H128</f>
        <v>1.12</v>
      </c>
      <c r="P127" s="441">
        <f>+I127/'(3) Reposición'!I128</f>
        <v>1.12</v>
      </c>
      <c r="Q127" s="441">
        <f>+J127/'(3) Reposición'!J128</f>
        <v>1.12</v>
      </c>
      <c r="R127" s="441">
        <f>+K127/'(3) Reposición'!K128</f>
        <v>1.12</v>
      </c>
      <c r="S127" s="441">
        <f>+L127/'(3) Reposición'!L128</f>
        <v>1.12</v>
      </c>
    </row>
    <row r="128" spans="2:19" ht="12.75">
      <c r="B128" s="643"/>
      <c r="C128" s="643"/>
      <c r="D128" s="756" t="s">
        <v>41</v>
      </c>
      <c r="E128" s="641" t="s">
        <v>42</v>
      </c>
      <c r="F128" s="660" t="s">
        <v>291</v>
      </c>
      <c r="G128" s="849">
        <f>+'(3) Reposición'!G129*1.12</f>
        <v>9.298894080000002</v>
      </c>
      <c r="H128" s="849">
        <f>+'(3) Reposición'!H129*1.12</f>
        <v>16.754041920000002</v>
      </c>
      <c r="I128" s="849">
        <f>+'(3) Reposición'!I129*1.12</f>
        <v>8.764474880000002</v>
      </c>
      <c r="J128" s="849">
        <f>+'(3) Reposición'!J129*1.12</f>
        <v>19.145567840000005</v>
      </c>
      <c r="K128" s="849">
        <f>+'(3) Reposición'!K129*1.12</f>
        <v>9.566103680000001</v>
      </c>
      <c r="L128" s="849">
        <f>+'(3) Reposición'!L129*1.12</f>
        <v>22.352083040000004</v>
      </c>
      <c r="N128" s="441">
        <f>+G128/'(3) Reposición'!G129</f>
        <v>1.12</v>
      </c>
      <c r="O128" s="441">
        <f>+H128/'(3) Reposición'!H129</f>
        <v>1.12</v>
      </c>
      <c r="P128" s="441">
        <f>+I128/'(3) Reposición'!I129</f>
        <v>1.1200000000000003</v>
      </c>
      <c r="Q128" s="441">
        <f>+J128/'(3) Reposición'!J129</f>
        <v>1.12</v>
      </c>
      <c r="R128" s="441">
        <f>+K128/'(3) Reposición'!K129</f>
        <v>1.12</v>
      </c>
      <c r="S128" s="441">
        <f>+L128/'(3) Reposición'!L129</f>
        <v>1.12</v>
      </c>
    </row>
    <row r="129" spans="2:19" ht="12.75">
      <c r="B129" s="643"/>
      <c r="C129" s="643"/>
      <c r="D129" s="756" t="s">
        <v>43</v>
      </c>
      <c r="E129" s="641" t="s">
        <v>44</v>
      </c>
      <c r="F129" s="660" t="s">
        <v>291</v>
      </c>
      <c r="G129" s="849">
        <f>+'(3) Reposición'!G130*1.12</f>
        <v>8.71103296</v>
      </c>
      <c r="H129" s="849">
        <f>+'(3) Reposición'!H130*1.12</f>
        <v>16.473471840000002</v>
      </c>
      <c r="I129" s="849">
        <f>+'(3) Reposición'!I130*1.12</f>
        <v>8.89807968</v>
      </c>
      <c r="J129" s="849">
        <f>+'(3) Reposición'!J130*1.12</f>
        <v>18.784834880000005</v>
      </c>
      <c r="K129" s="849">
        <f>+'(3) Reposición'!K130*1.12</f>
        <v>9.886755200000001</v>
      </c>
      <c r="L129" s="849">
        <f>+'(3) Reposición'!L130*1.12</f>
        <v>23.514444800000007</v>
      </c>
      <c r="N129" s="441">
        <f>+G129/'(3) Reposición'!G130</f>
        <v>1.12</v>
      </c>
      <c r="O129" s="441">
        <f>+H129/'(3) Reposición'!H130</f>
        <v>1.12</v>
      </c>
      <c r="P129" s="441">
        <f>+I129/'(3) Reposición'!I130</f>
        <v>1.12</v>
      </c>
      <c r="Q129" s="441">
        <f>+J129/'(3) Reposición'!J130</f>
        <v>1.12</v>
      </c>
      <c r="R129" s="441">
        <f>+K129/'(3) Reposición'!K130</f>
        <v>1.12</v>
      </c>
      <c r="S129" s="441">
        <f>+L129/'(3) Reposición'!L130</f>
        <v>1.12</v>
      </c>
    </row>
    <row r="130" spans="2:19" ht="12.75">
      <c r="B130" s="643"/>
      <c r="C130" s="643"/>
      <c r="D130" s="756" t="s">
        <v>45</v>
      </c>
      <c r="E130" s="641" t="s">
        <v>46</v>
      </c>
      <c r="F130" s="660" t="s">
        <v>291</v>
      </c>
      <c r="G130" s="849">
        <f>+'(3) Reposición'!G131*1.12</f>
        <v>8.844637760000001</v>
      </c>
      <c r="H130" s="849">
        <f>+'(3) Reposición'!H131*1.12</f>
        <v>16.166180800000003</v>
      </c>
      <c r="I130" s="849">
        <f>+'(3) Reposición'!I131*1.12</f>
        <v>8.89807968</v>
      </c>
      <c r="J130" s="849">
        <f>+'(3) Reposición'!J131*1.12</f>
        <v>18.784834880000005</v>
      </c>
      <c r="K130" s="849">
        <f>+'(3) Reposición'!K131*1.12</f>
        <v>10.02036</v>
      </c>
      <c r="L130" s="849">
        <f>+'(3) Reposición'!L131*1.12</f>
        <v>23.247235200000002</v>
      </c>
      <c r="N130" s="441">
        <f>+G130/'(3) Reposición'!G131</f>
        <v>1.12</v>
      </c>
      <c r="O130" s="441">
        <f>+H130/'(3) Reposición'!H131</f>
        <v>1.12</v>
      </c>
      <c r="P130" s="441">
        <f>+I130/'(3) Reposición'!I131</f>
        <v>1.12</v>
      </c>
      <c r="Q130" s="441">
        <f>+J130/'(3) Reposición'!J131</f>
        <v>1.12</v>
      </c>
      <c r="R130" s="441">
        <f>+K130/'(3) Reposición'!K131</f>
        <v>1.12</v>
      </c>
      <c r="S130" s="441">
        <f>+L130/'(3) Reposición'!L131</f>
        <v>1.12</v>
      </c>
    </row>
    <row r="131" spans="2:26" ht="12.75">
      <c r="B131" s="647"/>
      <c r="C131" s="751"/>
      <c r="D131" s="757" t="s">
        <v>177</v>
      </c>
      <c r="E131" s="666" t="s">
        <v>176</v>
      </c>
      <c r="F131" s="660" t="s">
        <v>291</v>
      </c>
      <c r="G131" s="849">
        <f>+'(3) Reposición'!G132*1.12</f>
        <v>10.073801920000003</v>
      </c>
      <c r="H131" s="849">
        <f>+'(3) Reposición'!H132*1.12</f>
        <v>16.433390400000004</v>
      </c>
      <c r="I131" s="849">
        <f>+'(3) Reposición'!I132*1.12</f>
        <v>9.392417440000003</v>
      </c>
      <c r="J131" s="849">
        <f>+'(3) Reposición'!J132*1.12</f>
        <v>18.65123008</v>
      </c>
      <c r="K131" s="849">
        <f>+'(3) Reposición'!K132*1.12</f>
        <v>10.608221120000001</v>
      </c>
      <c r="L131" s="849">
        <f>+'(3) Reposición'!L132*1.12</f>
        <v>22.48568784</v>
      </c>
      <c r="N131" s="441">
        <f>+G131/'(3) Reposición'!G132</f>
        <v>1.12</v>
      </c>
      <c r="O131" s="441">
        <f>+H131/'(3) Reposición'!H132</f>
        <v>1.12</v>
      </c>
      <c r="P131" s="441">
        <f>+I131/'(3) Reposición'!I132</f>
        <v>1.12</v>
      </c>
      <c r="Q131" s="441">
        <f>+J131/'(3) Reposición'!J132</f>
        <v>1.12</v>
      </c>
      <c r="R131" s="441">
        <f>+K131/'(3) Reposición'!K132</f>
        <v>1.12</v>
      </c>
      <c r="S131" s="441">
        <f>+L131/'(3) Reposición'!L132</f>
        <v>1.12</v>
      </c>
      <c r="Z131" s="728"/>
    </row>
    <row r="132" spans="2:12" ht="12.75">
      <c r="B132" s="630"/>
      <c r="C132" s="630"/>
      <c r="D132" s="630"/>
      <c r="E132" s="630"/>
      <c r="F132" s="630"/>
      <c r="G132" s="630"/>
      <c r="H132" s="630"/>
      <c r="I132" s="630"/>
      <c r="J132" s="630"/>
      <c r="K132" s="630"/>
      <c r="L132" s="630"/>
    </row>
  </sheetData>
  <sheetProtection/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0"/>
  <sheetViews>
    <sheetView showGridLines="0" zoomScale="85" zoomScaleNormal="85" zoomScalePageLayoutView="0" workbookViewId="0" topLeftCell="A1">
      <selection activeCell="J11" sqref="J11"/>
    </sheetView>
  </sheetViews>
  <sheetFormatPr defaultColWidth="11.421875" defaultRowHeight="12.75"/>
  <cols>
    <col min="1" max="1" width="1.28515625" style="761" customWidth="1"/>
    <col min="2" max="2" width="12.28125" style="759" customWidth="1"/>
    <col min="3" max="3" width="8.8515625" style="759" customWidth="1"/>
    <col min="4" max="4" width="8.57421875" style="759" customWidth="1"/>
    <col min="5" max="5" width="21.28125" style="759" customWidth="1"/>
    <col min="6" max="6" width="20.28125" style="759" customWidth="1"/>
    <col min="7" max="7" width="10.00390625" style="759" customWidth="1"/>
    <col min="8" max="8" width="10.7109375" style="759" bestFit="1" customWidth="1"/>
    <col min="9" max="9" width="11.421875" style="759" customWidth="1"/>
    <col min="10" max="10" width="10.7109375" style="759" bestFit="1" customWidth="1"/>
    <col min="11" max="11" width="11.140625" style="759" customWidth="1"/>
    <col min="12" max="12" width="10.7109375" style="759" bestFit="1" customWidth="1"/>
    <col min="13" max="13" width="9.140625" style="759" customWidth="1"/>
    <col min="14" max="14" width="15.57421875" style="759" customWidth="1"/>
    <col min="15" max="15" width="14.140625" style="759" customWidth="1"/>
    <col min="16" max="16" width="10.7109375" style="759" bestFit="1" customWidth="1"/>
    <col min="17" max="17" width="2.57421875" style="759" customWidth="1"/>
    <col min="18" max="61" width="11.421875" style="759" hidden="1" customWidth="1"/>
    <col min="62" max="62" width="1.57421875" style="759" customWidth="1"/>
    <col min="63" max="63" width="6.7109375" style="761" customWidth="1"/>
    <col min="64" max="64" width="15.140625" style="761" customWidth="1"/>
    <col min="65" max="65" width="19.140625" style="761" customWidth="1"/>
    <col min="66" max="66" width="11.421875" style="761" customWidth="1"/>
    <col min="67" max="67" width="15.8515625" style="761" customWidth="1"/>
    <col min="68" max="68" width="12.8515625" style="761" customWidth="1"/>
    <col min="69" max="69" width="52.7109375" style="761" customWidth="1"/>
    <col min="70" max="70" width="24.8515625" style="761" bestFit="1" customWidth="1"/>
    <col min="71" max="71" width="9.140625" style="761" customWidth="1"/>
    <col min="72" max="16384" width="11.421875" style="761" customWidth="1"/>
  </cols>
  <sheetData>
    <row r="1" spans="2:64" ht="12.75">
      <c r="B1" s="758"/>
      <c r="BK1" s="760"/>
      <c r="BL1" s="760"/>
    </row>
    <row r="2" spans="2:64" ht="21">
      <c r="B2" s="521" t="s">
        <v>409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BK2" s="760"/>
      <c r="BL2" s="760"/>
    </row>
    <row r="3" spans="2:64" ht="18.75">
      <c r="B3" s="522" t="str">
        <f>+'(3) Reposición'!B3</f>
        <v>Resolución Osinergmin N° 137-2019-OS/CD modificado por Resolución Osinergmin N° 176-2019 OS/CD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BK3" s="760"/>
      <c r="BL3" s="760"/>
    </row>
    <row r="4" spans="2:64" ht="18.75">
      <c r="B4" s="522" t="str">
        <f>+Factores!A2</f>
        <v>Vigente a partir del 04/Nov/2022</v>
      </c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BK4" s="760"/>
      <c r="BL4" s="760"/>
    </row>
    <row r="5" spans="2:64" ht="12.75">
      <c r="B5" s="523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BK5" s="760"/>
      <c r="BL5" s="760"/>
    </row>
    <row r="6" spans="2:16" ht="15.75">
      <c r="B6" s="632" t="s">
        <v>306</v>
      </c>
      <c r="C6" s="762"/>
      <c r="D6" s="633"/>
      <c r="E6" s="633"/>
      <c r="F6" s="633"/>
      <c r="G6" s="633"/>
      <c r="H6" s="633"/>
      <c r="I6" s="633"/>
      <c r="J6" s="762"/>
      <c r="K6" s="762"/>
      <c r="L6" s="762"/>
      <c r="M6" s="762"/>
      <c r="N6" s="762"/>
      <c r="O6" s="762"/>
      <c r="P6" s="762"/>
    </row>
    <row r="7" spans="2:71" ht="12.75">
      <c r="B7" s="762"/>
      <c r="C7" s="762"/>
      <c r="D7" s="762"/>
      <c r="E7" s="762"/>
      <c r="F7" s="762"/>
      <c r="G7" s="762"/>
      <c r="H7" s="762"/>
      <c r="I7" s="978" t="s">
        <v>307</v>
      </c>
      <c r="J7" s="979"/>
      <c r="K7" s="978" t="s">
        <v>308</v>
      </c>
      <c r="L7" s="979"/>
      <c r="M7" s="978" t="s">
        <v>309</v>
      </c>
      <c r="N7" s="979"/>
      <c r="O7" s="978" t="s">
        <v>310</v>
      </c>
      <c r="P7" s="979"/>
      <c r="BK7" s="763" t="s">
        <v>3</v>
      </c>
      <c r="BL7" s="763" t="s">
        <v>4</v>
      </c>
      <c r="BM7" s="763" t="s">
        <v>5</v>
      </c>
      <c r="BN7" s="763" t="s">
        <v>6</v>
      </c>
      <c r="BO7" s="763" t="s">
        <v>7</v>
      </c>
      <c r="BP7" s="763" t="s">
        <v>47</v>
      </c>
      <c r="BQ7" s="763" t="s">
        <v>48</v>
      </c>
      <c r="BR7" s="763" t="s">
        <v>49</v>
      </c>
      <c r="BS7" s="763" t="s">
        <v>93</v>
      </c>
    </row>
    <row r="8" spans="2:71" ht="12.75">
      <c r="B8" s="635" t="s">
        <v>6</v>
      </c>
      <c r="C8" s="636" t="s">
        <v>3</v>
      </c>
      <c r="D8" s="635" t="s">
        <v>4</v>
      </c>
      <c r="E8" s="635" t="s">
        <v>7</v>
      </c>
      <c r="F8" s="635" t="s">
        <v>49</v>
      </c>
      <c r="G8" s="635" t="s">
        <v>1</v>
      </c>
      <c r="H8" s="635" t="s">
        <v>2</v>
      </c>
      <c r="I8" s="635" t="s">
        <v>1</v>
      </c>
      <c r="J8" s="635" t="s">
        <v>2</v>
      </c>
      <c r="K8" s="635" t="s">
        <v>1</v>
      </c>
      <c r="L8" s="635" t="s">
        <v>2</v>
      </c>
      <c r="M8" s="635" t="s">
        <v>1</v>
      </c>
      <c r="N8" s="635" t="s">
        <v>2</v>
      </c>
      <c r="O8" s="635" t="s">
        <v>1</v>
      </c>
      <c r="P8" s="635" t="s">
        <v>2</v>
      </c>
      <c r="BK8" s="764"/>
      <c r="BL8" s="764"/>
      <c r="BM8" s="764" t="s">
        <v>8</v>
      </c>
      <c r="BN8" s="764"/>
      <c r="BO8" s="764" t="s">
        <v>86</v>
      </c>
      <c r="BP8" s="764"/>
      <c r="BQ8" s="764"/>
      <c r="BR8" s="764" t="s">
        <v>51</v>
      </c>
      <c r="BS8" s="764" t="s">
        <v>129</v>
      </c>
    </row>
    <row r="9" spans="2:71" ht="12.75">
      <c r="B9" s="637"/>
      <c r="C9" s="638"/>
      <c r="D9" s="637"/>
      <c r="E9" s="637" t="s">
        <v>86</v>
      </c>
      <c r="F9" s="637" t="s">
        <v>304</v>
      </c>
      <c r="G9" s="639" t="s">
        <v>274</v>
      </c>
      <c r="H9" s="637" t="s">
        <v>275</v>
      </c>
      <c r="I9" s="639" t="s">
        <v>274</v>
      </c>
      <c r="J9" s="637" t="s">
        <v>275</v>
      </c>
      <c r="K9" s="639" t="s">
        <v>274</v>
      </c>
      <c r="L9" s="637" t="s">
        <v>275</v>
      </c>
      <c r="M9" s="639" t="s">
        <v>274</v>
      </c>
      <c r="N9" s="637" t="s">
        <v>275</v>
      </c>
      <c r="O9" s="639" t="s">
        <v>274</v>
      </c>
      <c r="P9" s="637" t="s">
        <v>275</v>
      </c>
      <c r="BK9" s="765" t="s">
        <v>9</v>
      </c>
      <c r="BL9" s="766" t="s">
        <v>52</v>
      </c>
      <c r="BM9" s="765" t="s">
        <v>53</v>
      </c>
      <c r="BN9" s="767" t="s">
        <v>11</v>
      </c>
      <c r="BO9" s="768" t="s">
        <v>19</v>
      </c>
      <c r="BP9" s="765" t="s">
        <v>54</v>
      </c>
      <c r="BQ9" s="769" t="s">
        <v>55</v>
      </c>
      <c r="BR9" s="769" t="s">
        <v>56</v>
      </c>
      <c r="BS9" s="770">
        <f>'Resolución 137-2019-OS_CD'!AA271*Factores!$B$17</f>
        <v>0.682495</v>
      </c>
    </row>
    <row r="10" spans="2:71" ht="12.75">
      <c r="B10" s="640" t="s">
        <v>11</v>
      </c>
      <c r="C10" s="650" t="s">
        <v>9</v>
      </c>
      <c r="D10" s="640" t="s">
        <v>10</v>
      </c>
      <c r="E10" s="641" t="s">
        <v>12</v>
      </c>
      <c r="F10" s="642" t="s">
        <v>63</v>
      </c>
      <c r="G10" s="849">
        <f>'Resolución 137-2019-OS_CD'!G272*Factores!$B$17</f>
        <v>1.4518529999999998</v>
      </c>
      <c r="H10" s="849">
        <f>'Resolución 137-2019-OS_CD'!H272*Factores!$B$17</f>
        <v>1.340172</v>
      </c>
      <c r="I10" s="850"/>
      <c r="J10" s="850"/>
      <c r="K10" s="850"/>
      <c r="L10" s="850"/>
      <c r="M10" s="850"/>
      <c r="N10" s="850"/>
      <c r="O10" s="850"/>
      <c r="P10" s="850"/>
      <c r="R10" s="759">
        <v>1.03</v>
      </c>
      <c r="S10" s="759">
        <v>0.99</v>
      </c>
      <c r="AC10" s="759">
        <f>+IF(R10=G10,0,1)</f>
        <v>1</v>
      </c>
      <c r="AD10" s="759">
        <f aca="true" t="shared" si="0" ref="AD10:AN10">+IF(S10=H10,0,1)</f>
        <v>1</v>
      </c>
      <c r="AE10" s="759">
        <f t="shared" si="0"/>
        <v>0</v>
      </c>
      <c r="AF10" s="759">
        <f t="shared" si="0"/>
        <v>0</v>
      </c>
      <c r="AG10" s="759">
        <f t="shared" si="0"/>
        <v>0</v>
      </c>
      <c r="AH10" s="759">
        <f t="shared" si="0"/>
        <v>0</v>
      </c>
      <c r="AI10" s="759">
        <f t="shared" si="0"/>
        <v>0</v>
      </c>
      <c r="AJ10" s="759">
        <f t="shared" si="0"/>
        <v>0</v>
      </c>
      <c r="AK10" s="759">
        <f t="shared" si="0"/>
        <v>0</v>
      </c>
      <c r="AL10" s="759">
        <f>+IF(AA10=P10,0,1)</f>
        <v>0</v>
      </c>
      <c r="AN10" s="759">
        <f t="shared" si="0"/>
        <v>1</v>
      </c>
      <c r="BK10" s="771"/>
      <c r="BM10" s="771"/>
      <c r="BO10" s="772"/>
      <c r="BP10" s="772"/>
      <c r="BQ10" s="769" t="s">
        <v>57</v>
      </c>
      <c r="BR10" s="769" t="s">
        <v>58</v>
      </c>
      <c r="BS10" s="770">
        <f>'Resolución 137-2019-OS_CD'!AA272*Factores!$B$17</f>
        <v>0.8810389999999999</v>
      </c>
    </row>
    <row r="11" spans="2:71" ht="12.75">
      <c r="B11" s="643"/>
      <c r="C11" s="644"/>
      <c r="D11" s="643"/>
      <c r="E11" s="645"/>
      <c r="F11" s="642" t="s">
        <v>87</v>
      </c>
      <c r="G11" s="849"/>
      <c r="H11" s="849"/>
      <c r="I11" s="849">
        <f>+'Resolución 137-2019-OS_CD'!I273*Factores!$B$17</f>
        <v>1.079583</v>
      </c>
      <c r="J11" s="849">
        <f>+'Resolución 137-2019-OS_CD'!J273*Factores!$B$17</f>
        <v>0.9679019999999999</v>
      </c>
      <c r="K11" s="849">
        <f>+'Resolución 137-2019-OS_CD'!K273*Factores!$B$17</f>
        <v>1.1416279999999999</v>
      </c>
      <c r="L11" s="849">
        <f>+'Resolución 137-2019-OS_CD'!L273*Factores!$B$17</f>
        <v>1.029947</v>
      </c>
      <c r="M11" s="849">
        <f>+'Resolución 137-2019-OS_CD'!M273*Factores!$B$17</f>
        <v>1.340172</v>
      </c>
      <c r="N11" s="849">
        <f>+'Resolución 137-2019-OS_CD'!N273*Factores!$B$17</f>
        <v>1.2284909999999998</v>
      </c>
      <c r="O11" s="849">
        <f>+'Resolución 137-2019-OS_CD'!O273*Factores!$B$17</f>
        <v>1.4022169999999998</v>
      </c>
      <c r="P11" s="849">
        <f>+'Resolución 137-2019-OS_CD'!P273*Factores!$B$17</f>
        <v>1.290536</v>
      </c>
      <c r="T11" s="759">
        <v>0.76</v>
      </c>
      <c r="U11" s="759">
        <v>0.72</v>
      </c>
      <c r="V11" s="759">
        <v>0.81</v>
      </c>
      <c r="W11" s="759">
        <v>0.77</v>
      </c>
      <c r="X11" s="759">
        <v>0.97</v>
      </c>
      <c r="Y11" s="759">
        <v>0.93</v>
      </c>
      <c r="Z11" s="759">
        <v>1.01</v>
      </c>
      <c r="AA11" s="759">
        <v>0.98</v>
      </c>
      <c r="AC11" s="759">
        <f aca="true" t="shared" si="1" ref="AC11:AC31">+IF(R11=G11,0,1)</f>
        <v>0</v>
      </c>
      <c r="AD11" s="759">
        <f aca="true" t="shared" si="2" ref="AD11:AD32">+IF(S11=H11,0,1)</f>
        <v>0</v>
      </c>
      <c r="AE11" s="759">
        <f aca="true" t="shared" si="3" ref="AE11:AE32">+IF(T11=I11,0,1)</f>
        <v>1</v>
      </c>
      <c r="AF11" s="759">
        <f aca="true" t="shared" si="4" ref="AF11:AF32">+IF(U11=J11,0,1)</f>
        <v>1</v>
      </c>
      <c r="AG11" s="759">
        <f aca="true" t="shared" si="5" ref="AG11:AG32">+IF(V11=K11,0,1)</f>
        <v>1</v>
      </c>
      <c r="AH11" s="759">
        <f aca="true" t="shared" si="6" ref="AH11:AH32">+IF(W11=L11,0,1)</f>
        <v>1</v>
      </c>
      <c r="AI11" s="759">
        <f aca="true" t="shared" si="7" ref="AI11:AI32">+IF(X11=M11,0,1)</f>
        <v>1</v>
      </c>
      <c r="AJ11" s="759">
        <f aca="true" t="shared" si="8" ref="AJ11:AJ32">+IF(Y11=N11,0,1)</f>
        <v>1</v>
      </c>
      <c r="AK11" s="759">
        <f aca="true" t="shared" si="9" ref="AK11:AK32">+IF(Z11=O11,0,1)</f>
        <v>1</v>
      </c>
      <c r="AL11" s="759">
        <f aca="true" t="shared" si="10" ref="AL11:AL32">+IF(AA11=P11,0,1)</f>
        <v>1</v>
      </c>
      <c r="BK11" s="772"/>
      <c r="BL11" s="766"/>
      <c r="BM11" s="772"/>
      <c r="BN11" s="767"/>
      <c r="BO11" s="772"/>
      <c r="BP11" s="772"/>
      <c r="BQ11" s="773" t="s">
        <v>298</v>
      </c>
      <c r="BR11" s="774" t="s">
        <v>185</v>
      </c>
      <c r="BS11" s="770">
        <f>'Resolución 137-2019-OS_CD'!AA273*Factores!$B$17</f>
        <v>1.079583</v>
      </c>
    </row>
    <row r="12" spans="2:71" ht="12.75">
      <c r="B12" s="775"/>
      <c r="C12" s="762"/>
      <c r="D12" s="775"/>
      <c r="E12" s="775"/>
      <c r="F12" s="642" t="s">
        <v>270</v>
      </c>
      <c r="G12" s="849"/>
      <c r="H12" s="849"/>
      <c r="I12" s="849">
        <f>+'Resolución 137-2019-OS_CD'!I274*Factores!$B$17</f>
        <v>1.290536</v>
      </c>
      <c r="J12" s="849"/>
      <c r="K12" s="849">
        <f>+'Resolución 137-2019-OS_CD'!K274*Factores!$B$17</f>
        <v>1.36499</v>
      </c>
      <c r="L12" s="849"/>
      <c r="M12" s="849">
        <f>+'Resolución 137-2019-OS_CD'!M274*Factores!$B$17</f>
        <v>1.61317</v>
      </c>
      <c r="N12" s="849"/>
      <c r="O12" s="849">
        <f>+'Resolución 137-2019-OS_CD'!O274*Factores!$B$17</f>
        <v>1.687624</v>
      </c>
      <c r="P12" s="849"/>
      <c r="T12" s="759">
        <v>0.76</v>
      </c>
      <c r="V12" s="759">
        <v>0.81</v>
      </c>
      <c r="X12" s="759">
        <v>0.97</v>
      </c>
      <c r="Z12" s="759">
        <v>1.01</v>
      </c>
      <c r="AC12" s="759">
        <f t="shared" si="1"/>
        <v>0</v>
      </c>
      <c r="AD12" s="759">
        <f t="shared" si="2"/>
        <v>0</v>
      </c>
      <c r="AE12" s="759">
        <f t="shared" si="3"/>
        <v>1</v>
      </c>
      <c r="AF12" s="759">
        <f t="shared" si="4"/>
        <v>0</v>
      </c>
      <c r="AG12" s="759">
        <f t="shared" si="5"/>
        <v>1</v>
      </c>
      <c r="AH12" s="759">
        <f t="shared" si="6"/>
        <v>0</v>
      </c>
      <c r="AI12" s="759">
        <f t="shared" si="7"/>
        <v>1</v>
      </c>
      <c r="AJ12" s="759">
        <f t="shared" si="8"/>
        <v>0</v>
      </c>
      <c r="AK12" s="759">
        <f t="shared" si="9"/>
        <v>1</v>
      </c>
      <c r="AL12" s="759">
        <f t="shared" si="10"/>
        <v>0</v>
      </c>
      <c r="BK12" s="772"/>
      <c r="BL12" s="766"/>
      <c r="BM12" s="772"/>
      <c r="BN12" s="767"/>
      <c r="BO12" s="772"/>
      <c r="BP12" s="772"/>
      <c r="BQ12" s="773" t="s">
        <v>299</v>
      </c>
      <c r="BR12" s="774" t="s">
        <v>185</v>
      </c>
      <c r="BS12" s="770">
        <f>'Resolución 137-2019-OS_CD'!AA274*Factores!$B$17</f>
        <v>1.1416279999999999</v>
      </c>
    </row>
    <row r="13" spans="2:71" ht="25.5">
      <c r="B13" s="643"/>
      <c r="C13" s="644"/>
      <c r="D13" s="643"/>
      <c r="E13" s="645"/>
      <c r="F13" s="642" t="s">
        <v>88</v>
      </c>
      <c r="G13" s="849"/>
      <c r="H13" s="849"/>
      <c r="I13" s="849">
        <f>+'Resolución 137-2019-OS_CD'!I275*Factores!$B$17</f>
        <v>1.079583</v>
      </c>
      <c r="J13" s="849">
        <f>+'Resolución 137-2019-OS_CD'!J275*Factores!$B$17</f>
        <v>0.9679019999999999</v>
      </c>
      <c r="K13" s="849">
        <f>+'Resolución 137-2019-OS_CD'!K275*Factores!$B$17</f>
        <v>1.1416279999999999</v>
      </c>
      <c r="L13" s="849">
        <f>+'Resolución 137-2019-OS_CD'!L275*Factores!$B$17</f>
        <v>1.029947</v>
      </c>
      <c r="M13" s="849">
        <f>+'Resolución 137-2019-OS_CD'!M275*Factores!$B$17</f>
        <v>1.340172</v>
      </c>
      <c r="N13" s="849">
        <f>+'Resolución 137-2019-OS_CD'!N275*Factores!$B$17</f>
        <v>1.2284909999999998</v>
      </c>
      <c r="O13" s="849">
        <f>+'Resolución 137-2019-OS_CD'!O275*Factores!$B$17</f>
        <v>1.4022169999999998</v>
      </c>
      <c r="P13" s="849">
        <f>+'Resolución 137-2019-OS_CD'!P275*Factores!$B$17</f>
        <v>1.290536</v>
      </c>
      <c r="T13" s="759">
        <v>0.76</v>
      </c>
      <c r="U13" s="759">
        <v>0.72</v>
      </c>
      <c r="V13" s="759">
        <v>0.81</v>
      </c>
      <c r="W13" s="759">
        <v>0.77</v>
      </c>
      <c r="X13" s="759">
        <v>0.97</v>
      </c>
      <c r="Y13" s="759">
        <v>0.93</v>
      </c>
      <c r="Z13" s="759">
        <v>1.01</v>
      </c>
      <c r="AA13" s="759">
        <v>0.98</v>
      </c>
      <c r="AC13" s="759">
        <f t="shared" si="1"/>
        <v>0</v>
      </c>
      <c r="AD13" s="759">
        <f t="shared" si="2"/>
        <v>0</v>
      </c>
      <c r="AE13" s="759">
        <f t="shared" si="3"/>
        <v>1</v>
      </c>
      <c r="AF13" s="759">
        <f t="shared" si="4"/>
        <v>1</v>
      </c>
      <c r="AG13" s="759">
        <f t="shared" si="5"/>
        <v>1</v>
      </c>
      <c r="AH13" s="759">
        <f t="shared" si="6"/>
        <v>1</v>
      </c>
      <c r="AI13" s="759">
        <f t="shared" si="7"/>
        <v>1</v>
      </c>
      <c r="AJ13" s="759">
        <f t="shared" si="8"/>
        <v>1</v>
      </c>
      <c r="AK13" s="759">
        <f t="shared" si="9"/>
        <v>1</v>
      </c>
      <c r="AL13" s="759">
        <f t="shared" si="10"/>
        <v>1</v>
      </c>
      <c r="BK13" s="772"/>
      <c r="BL13" s="766"/>
      <c r="BM13" s="772"/>
      <c r="BN13" s="767"/>
      <c r="BO13" s="772"/>
      <c r="BP13" s="772"/>
      <c r="BQ13" s="773" t="s">
        <v>301</v>
      </c>
      <c r="BR13" s="774" t="s">
        <v>185</v>
      </c>
      <c r="BS13" s="770">
        <f>'Resolución 137-2019-OS_CD'!AA275*Factores!$B$17</f>
        <v>1.340172</v>
      </c>
    </row>
    <row r="14" spans="2:71" ht="12.75">
      <c r="B14" s="775"/>
      <c r="C14" s="762"/>
      <c r="D14" s="775"/>
      <c r="E14" s="775"/>
      <c r="F14" s="642" t="s">
        <v>271</v>
      </c>
      <c r="G14" s="849"/>
      <c r="H14" s="849"/>
      <c r="I14" s="849">
        <f>+'Resolución 137-2019-OS_CD'!I276*Factores!$B$17</f>
        <v>1.290536</v>
      </c>
      <c r="J14" s="849"/>
      <c r="K14" s="849">
        <f>+'Resolución 137-2019-OS_CD'!K276*Factores!$B$17</f>
        <v>1.36499</v>
      </c>
      <c r="L14" s="849"/>
      <c r="M14" s="849">
        <f>+'Resolución 137-2019-OS_CD'!M276*Factores!$B$17</f>
        <v>1.61317</v>
      </c>
      <c r="N14" s="849"/>
      <c r="O14" s="849">
        <f>+'Resolución 137-2019-OS_CD'!O276*Factores!$B$17</f>
        <v>1.687624</v>
      </c>
      <c r="P14" s="849"/>
      <c r="T14" s="759">
        <v>0.76</v>
      </c>
      <c r="V14" s="759">
        <v>0.81</v>
      </c>
      <c r="X14" s="759">
        <v>0.97</v>
      </c>
      <c r="Z14" s="759">
        <v>1.01</v>
      </c>
      <c r="AC14" s="759">
        <f t="shared" si="1"/>
        <v>0</v>
      </c>
      <c r="AD14" s="759">
        <f t="shared" si="2"/>
        <v>0</v>
      </c>
      <c r="AE14" s="759">
        <f t="shared" si="3"/>
        <v>1</v>
      </c>
      <c r="AF14" s="759">
        <f t="shared" si="4"/>
        <v>0</v>
      </c>
      <c r="AG14" s="759">
        <f t="shared" si="5"/>
        <v>1</v>
      </c>
      <c r="AH14" s="759">
        <f t="shared" si="6"/>
        <v>0</v>
      </c>
      <c r="AI14" s="759">
        <f t="shared" si="7"/>
        <v>1</v>
      </c>
      <c r="AJ14" s="759">
        <f t="shared" si="8"/>
        <v>0</v>
      </c>
      <c r="AK14" s="759">
        <f t="shared" si="9"/>
        <v>1</v>
      </c>
      <c r="AL14" s="759">
        <f t="shared" si="10"/>
        <v>0</v>
      </c>
      <c r="BK14" s="772"/>
      <c r="BL14" s="766"/>
      <c r="BM14" s="772"/>
      <c r="BN14" s="767"/>
      <c r="BO14" s="772"/>
      <c r="BP14" s="772"/>
      <c r="BQ14" s="773" t="s">
        <v>300</v>
      </c>
      <c r="BR14" s="774" t="s">
        <v>185</v>
      </c>
      <c r="BS14" s="770">
        <f>'Resolución 137-2019-OS_CD'!AA276*Factores!$B$17</f>
        <v>1.4022169999999998</v>
      </c>
    </row>
    <row r="15" spans="2:71" ht="12.75">
      <c r="B15" s="643"/>
      <c r="C15" s="644"/>
      <c r="D15" s="647"/>
      <c r="E15" s="737"/>
      <c r="F15" s="642" t="s">
        <v>56</v>
      </c>
      <c r="G15" s="849">
        <f>'Resolución 137-2019-OS_CD'!G277*Factores!$B$17</f>
        <v>0.682495</v>
      </c>
      <c r="H15" s="849">
        <f>'Resolución 137-2019-OS_CD'!H277*Factores!$B$17</f>
        <v>0.5708139999999999</v>
      </c>
      <c r="I15" s="850"/>
      <c r="J15" s="850"/>
      <c r="K15" s="850"/>
      <c r="L15" s="850"/>
      <c r="M15" s="850"/>
      <c r="N15" s="850"/>
      <c r="O15" s="850"/>
      <c r="P15" s="850"/>
      <c r="R15" s="759">
        <v>0.5</v>
      </c>
      <c r="S15" s="759">
        <v>0.44</v>
      </c>
      <c r="AC15" s="759">
        <f t="shared" si="1"/>
        <v>1</v>
      </c>
      <c r="AD15" s="759">
        <f t="shared" si="2"/>
        <v>1</v>
      </c>
      <c r="AE15" s="759">
        <f t="shared" si="3"/>
        <v>0</v>
      </c>
      <c r="AF15" s="759">
        <f t="shared" si="4"/>
        <v>0</v>
      </c>
      <c r="AG15" s="759">
        <f t="shared" si="5"/>
        <v>0</v>
      </c>
      <c r="AH15" s="759">
        <f t="shared" si="6"/>
        <v>0</v>
      </c>
      <c r="AI15" s="759">
        <f t="shared" si="7"/>
        <v>0</v>
      </c>
      <c r="AJ15" s="759">
        <f t="shared" si="8"/>
        <v>0</v>
      </c>
      <c r="AK15" s="759">
        <f t="shared" si="9"/>
        <v>0</v>
      </c>
      <c r="AL15" s="759">
        <f t="shared" si="10"/>
        <v>0</v>
      </c>
      <c r="BK15" s="772"/>
      <c r="BL15" s="766"/>
      <c r="BM15" s="772"/>
      <c r="BN15" s="767"/>
      <c r="BO15" s="772"/>
      <c r="BP15" s="776"/>
      <c r="BQ15" s="769" t="s">
        <v>62</v>
      </c>
      <c r="BR15" s="769" t="s">
        <v>63</v>
      </c>
      <c r="BS15" s="770">
        <f>'Resolución 137-2019-OS_CD'!AA277*Factores!$B$17</f>
        <v>1.4518529999999998</v>
      </c>
    </row>
    <row r="16" spans="2:71" ht="12.75">
      <c r="B16" s="643"/>
      <c r="C16" s="644"/>
      <c r="D16" s="640" t="s">
        <v>14</v>
      </c>
      <c r="E16" s="641" t="s">
        <v>15</v>
      </c>
      <c r="F16" s="642" t="s">
        <v>63</v>
      </c>
      <c r="G16" s="849">
        <f>'Resolución 137-2019-OS_CD'!G278*Factores!$B$17</f>
        <v>1.4518529999999998</v>
      </c>
      <c r="H16" s="849">
        <f>'Resolución 137-2019-OS_CD'!H278*Factores!$B$17</f>
        <v>1.340172</v>
      </c>
      <c r="I16" s="850"/>
      <c r="J16" s="850"/>
      <c r="K16" s="850"/>
      <c r="L16" s="850"/>
      <c r="M16" s="850"/>
      <c r="N16" s="850"/>
      <c r="O16" s="850"/>
      <c r="P16" s="850"/>
      <c r="R16" s="759">
        <v>1.03</v>
      </c>
      <c r="S16" s="759">
        <v>0.99</v>
      </c>
      <c r="AC16" s="759">
        <f t="shared" si="1"/>
        <v>1</v>
      </c>
      <c r="AD16" s="759">
        <f t="shared" si="2"/>
        <v>1</v>
      </c>
      <c r="AE16" s="759">
        <f t="shared" si="3"/>
        <v>0</v>
      </c>
      <c r="AF16" s="759">
        <f t="shared" si="4"/>
        <v>0</v>
      </c>
      <c r="AG16" s="759">
        <f t="shared" si="5"/>
        <v>0</v>
      </c>
      <c r="AH16" s="759">
        <f t="shared" si="6"/>
        <v>0</v>
      </c>
      <c r="AI16" s="759">
        <f t="shared" si="7"/>
        <v>0</v>
      </c>
      <c r="AJ16" s="759">
        <f t="shared" si="8"/>
        <v>0</v>
      </c>
      <c r="AK16" s="759">
        <f t="shared" si="9"/>
        <v>0</v>
      </c>
      <c r="AL16" s="759">
        <f t="shared" si="10"/>
        <v>0</v>
      </c>
      <c r="BK16" s="772"/>
      <c r="BL16" s="766"/>
      <c r="BM16" s="772"/>
      <c r="BN16" s="767"/>
      <c r="BO16" s="772"/>
      <c r="BP16" s="765" t="s">
        <v>2</v>
      </c>
      <c r="BQ16" s="769" t="s">
        <v>55</v>
      </c>
      <c r="BR16" s="769" t="s">
        <v>56</v>
      </c>
      <c r="BS16" s="770">
        <f>'Resolución 137-2019-OS_CD'!AA278*Factores!$B$17</f>
        <v>0.5708139999999999</v>
      </c>
    </row>
    <row r="17" spans="2:71" ht="12.75">
      <c r="B17" s="643"/>
      <c r="C17" s="644"/>
      <c r="D17" s="643"/>
      <c r="E17" s="645"/>
      <c r="F17" s="642" t="s">
        <v>87</v>
      </c>
      <c r="G17" s="849"/>
      <c r="H17" s="849"/>
      <c r="I17" s="849">
        <f>'Resolución 137-2019-OS_CD'!I279*Factores!$B$17</f>
        <v>1.079583</v>
      </c>
      <c r="J17" s="849">
        <f>'Resolución 137-2019-OS_CD'!J279*Factores!$B$17</f>
        <v>0.9679019999999999</v>
      </c>
      <c r="K17" s="849">
        <f>'Resolución 137-2019-OS_CD'!K279*Factores!$B$17</f>
        <v>1.1416279999999999</v>
      </c>
      <c r="L17" s="849">
        <f>'Resolución 137-2019-OS_CD'!L279*Factores!$B$17</f>
        <v>1.029947</v>
      </c>
      <c r="M17" s="849">
        <f>'Resolución 137-2019-OS_CD'!M279*Factores!$B$17</f>
        <v>1.340172</v>
      </c>
      <c r="N17" s="849">
        <f>'Resolución 137-2019-OS_CD'!N279*Factores!$B$17</f>
        <v>1.2284909999999998</v>
      </c>
      <c r="O17" s="849">
        <f>'Resolución 137-2019-OS_CD'!O279*Factores!$B$17</f>
        <v>1.4022169999999998</v>
      </c>
      <c r="P17" s="849">
        <f>'Resolución 137-2019-OS_CD'!P279*Factores!$B$17</f>
        <v>1.290536</v>
      </c>
      <c r="T17" s="759">
        <v>0.76</v>
      </c>
      <c r="U17" s="759">
        <v>0.72</v>
      </c>
      <c r="V17" s="759">
        <v>0.81</v>
      </c>
      <c r="W17" s="759">
        <v>0.77</v>
      </c>
      <c r="X17" s="759">
        <v>0.97</v>
      </c>
      <c r="Y17" s="759">
        <v>0.93</v>
      </c>
      <c r="Z17" s="759">
        <v>1.01</v>
      </c>
      <c r="AA17" s="759">
        <v>0.98</v>
      </c>
      <c r="AC17" s="759">
        <f t="shared" si="1"/>
        <v>0</v>
      </c>
      <c r="AD17" s="759">
        <f t="shared" si="2"/>
        <v>0</v>
      </c>
      <c r="AE17" s="759">
        <f t="shared" si="3"/>
        <v>1</v>
      </c>
      <c r="AF17" s="759">
        <f t="shared" si="4"/>
        <v>1</v>
      </c>
      <c r="AG17" s="759">
        <f t="shared" si="5"/>
        <v>1</v>
      </c>
      <c r="AH17" s="759">
        <f t="shared" si="6"/>
        <v>1</v>
      </c>
      <c r="AI17" s="759">
        <f t="shared" si="7"/>
        <v>1</v>
      </c>
      <c r="AJ17" s="759">
        <f t="shared" si="8"/>
        <v>1</v>
      </c>
      <c r="AK17" s="759">
        <f t="shared" si="9"/>
        <v>1</v>
      </c>
      <c r="AL17" s="759">
        <f t="shared" si="10"/>
        <v>1</v>
      </c>
      <c r="BJ17" s="634"/>
      <c r="BK17" s="772"/>
      <c r="BL17" s="766"/>
      <c r="BM17" s="772"/>
      <c r="BN17" s="767"/>
      <c r="BO17" s="772"/>
      <c r="BP17" s="772"/>
      <c r="BQ17" s="769" t="s">
        <v>57</v>
      </c>
      <c r="BR17" s="769" t="s">
        <v>58</v>
      </c>
      <c r="BS17" s="770">
        <f>'Resolución 137-2019-OS_CD'!AA279*Factores!$B$17</f>
        <v>0.831403</v>
      </c>
    </row>
    <row r="18" spans="2:71" ht="12.75">
      <c r="B18" s="643"/>
      <c r="C18" s="644"/>
      <c r="D18" s="643"/>
      <c r="E18" s="645"/>
      <c r="F18" s="642" t="s">
        <v>88</v>
      </c>
      <c r="G18" s="849"/>
      <c r="H18" s="849"/>
      <c r="I18" s="849">
        <f>'Resolución 137-2019-OS_CD'!I280*Factores!$B$17</f>
        <v>1.079583</v>
      </c>
      <c r="J18" s="849">
        <f>'Resolución 137-2019-OS_CD'!J280*Factores!$B$17</f>
        <v>0.9679019999999999</v>
      </c>
      <c r="K18" s="849">
        <f>'Resolución 137-2019-OS_CD'!K280*Factores!$B$17</f>
        <v>1.1416279999999999</v>
      </c>
      <c r="L18" s="849">
        <f>'Resolución 137-2019-OS_CD'!L280*Factores!$B$17</f>
        <v>1.029947</v>
      </c>
      <c r="M18" s="849">
        <f>'Resolución 137-2019-OS_CD'!M280*Factores!$B$17</f>
        <v>1.340172</v>
      </c>
      <c r="N18" s="849">
        <f>'Resolución 137-2019-OS_CD'!N280*Factores!$B$17</f>
        <v>1.2284909999999998</v>
      </c>
      <c r="O18" s="849">
        <f>'Resolución 137-2019-OS_CD'!O280*Factores!$B$17</f>
        <v>1.4022169999999998</v>
      </c>
      <c r="P18" s="849">
        <f>'Resolución 137-2019-OS_CD'!P280*Factores!$B$17</f>
        <v>1.290536</v>
      </c>
      <c r="T18" s="759">
        <v>0.76</v>
      </c>
      <c r="U18" s="759">
        <v>0.72</v>
      </c>
      <c r="V18" s="759">
        <v>0.81</v>
      </c>
      <c r="W18" s="759">
        <v>0.77</v>
      </c>
      <c r="X18" s="759">
        <v>0.97</v>
      </c>
      <c r="Y18" s="759">
        <v>0.93</v>
      </c>
      <c r="Z18" s="759">
        <v>1.01</v>
      </c>
      <c r="AA18" s="759">
        <v>0.98</v>
      </c>
      <c r="AC18" s="759">
        <f t="shared" si="1"/>
        <v>0</v>
      </c>
      <c r="AD18" s="759">
        <f t="shared" si="2"/>
        <v>0</v>
      </c>
      <c r="AE18" s="759">
        <f t="shared" si="3"/>
        <v>1</v>
      </c>
      <c r="AF18" s="759">
        <f t="shared" si="4"/>
        <v>1</v>
      </c>
      <c r="AG18" s="759">
        <f t="shared" si="5"/>
        <v>1</v>
      </c>
      <c r="AH18" s="759">
        <f t="shared" si="6"/>
        <v>1</v>
      </c>
      <c r="AI18" s="759">
        <f t="shared" si="7"/>
        <v>1</v>
      </c>
      <c r="AJ18" s="759">
        <f t="shared" si="8"/>
        <v>1</v>
      </c>
      <c r="AK18" s="759">
        <f t="shared" si="9"/>
        <v>1</v>
      </c>
      <c r="AL18" s="759">
        <f t="shared" si="10"/>
        <v>1</v>
      </c>
      <c r="BJ18" s="634"/>
      <c r="BK18" s="772"/>
      <c r="BL18" s="766"/>
      <c r="BM18" s="772"/>
      <c r="BN18" s="767"/>
      <c r="BO18" s="772"/>
      <c r="BP18" s="772"/>
      <c r="BQ18" s="773" t="s">
        <v>298</v>
      </c>
      <c r="BR18" s="774" t="s">
        <v>185</v>
      </c>
      <c r="BS18" s="770">
        <f>'Resolución 137-2019-OS_CD'!AA280*Factores!$B$17</f>
        <v>0.9679019999999999</v>
      </c>
    </row>
    <row r="19" spans="2:71" ht="12.75">
      <c r="B19" s="643"/>
      <c r="C19" s="644"/>
      <c r="D19" s="643"/>
      <c r="E19" s="645"/>
      <c r="F19" s="649" t="s">
        <v>56</v>
      </c>
      <c r="G19" s="849">
        <f>'Resolución 137-2019-OS_CD'!G281*Factores!$B$17</f>
        <v>0.682495</v>
      </c>
      <c r="H19" s="849">
        <f>'Resolución 137-2019-OS_CD'!H281*Factores!$B$17</f>
        <v>0.5708139999999999</v>
      </c>
      <c r="I19" s="850"/>
      <c r="J19" s="850"/>
      <c r="K19" s="850"/>
      <c r="L19" s="850"/>
      <c r="M19" s="850"/>
      <c r="N19" s="850"/>
      <c r="O19" s="850"/>
      <c r="P19" s="850"/>
      <c r="R19" s="759">
        <v>0.5</v>
      </c>
      <c r="S19" s="759">
        <v>0.44</v>
      </c>
      <c r="AC19" s="759">
        <f t="shared" si="1"/>
        <v>1</v>
      </c>
      <c r="AD19" s="759">
        <f t="shared" si="2"/>
        <v>1</v>
      </c>
      <c r="AE19" s="759">
        <f t="shared" si="3"/>
        <v>0</v>
      </c>
      <c r="AF19" s="759">
        <f t="shared" si="4"/>
        <v>0</v>
      </c>
      <c r="AG19" s="759">
        <f t="shared" si="5"/>
        <v>0</v>
      </c>
      <c r="AH19" s="759">
        <f t="shared" si="6"/>
        <v>0</v>
      </c>
      <c r="AI19" s="759">
        <f t="shared" si="7"/>
        <v>0</v>
      </c>
      <c r="AJ19" s="759">
        <f t="shared" si="8"/>
        <v>0</v>
      </c>
      <c r="AK19" s="759">
        <f t="shared" si="9"/>
        <v>0</v>
      </c>
      <c r="AL19" s="759">
        <f t="shared" si="10"/>
        <v>0</v>
      </c>
      <c r="BK19" s="772"/>
      <c r="BL19" s="766"/>
      <c r="BM19" s="772"/>
      <c r="BN19" s="767"/>
      <c r="BO19" s="772"/>
      <c r="BP19" s="772"/>
      <c r="BQ19" s="773" t="s">
        <v>299</v>
      </c>
      <c r="BR19" s="774" t="s">
        <v>185</v>
      </c>
      <c r="BS19" s="770">
        <f>'Resolución 137-2019-OS_CD'!AA281*Factores!$B$17</f>
        <v>1.029947</v>
      </c>
    </row>
    <row r="20" spans="2:71" ht="25.5">
      <c r="B20" s="640" t="s">
        <v>18</v>
      </c>
      <c r="C20" s="650" t="s">
        <v>16</v>
      </c>
      <c r="D20" s="640" t="s">
        <v>17</v>
      </c>
      <c r="E20" s="641" t="s">
        <v>19</v>
      </c>
      <c r="F20" s="642" t="s">
        <v>63</v>
      </c>
      <c r="G20" s="849">
        <f>'Resolución 137-2019-OS_CD'!G282*Factores!$B$17</f>
        <v>2.705162</v>
      </c>
      <c r="H20" s="849">
        <f>'Resolución 137-2019-OS_CD'!H282*Factores!$B$17</f>
        <v>2.630708</v>
      </c>
      <c r="I20" s="850"/>
      <c r="J20" s="850"/>
      <c r="K20" s="850"/>
      <c r="L20" s="850"/>
      <c r="M20" s="850"/>
      <c r="N20" s="850"/>
      <c r="O20" s="850"/>
      <c r="P20" s="850"/>
      <c r="R20" s="759">
        <v>1.96</v>
      </c>
      <c r="S20" s="759">
        <v>1.92</v>
      </c>
      <c r="AC20" s="759">
        <f t="shared" si="1"/>
        <v>1</v>
      </c>
      <c r="AD20" s="759">
        <f t="shared" si="2"/>
        <v>1</v>
      </c>
      <c r="AE20" s="759">
        <f t="shared" si="3"/>
        <v>0</v>
      </c>
      <c r="AF20" s="759">
        <f t="shared" si="4"/>
        <v>0</v>
      </c>
      <c r="AG20" s="759">
        <f t="shared" si="5"/>
        <v>0</v>
      </c>
      <c r="AH20" s="759">
        <f t="shared" si="6"/>
        <v>0</v>
      </c>
      <c r="AI20" s="759">
        <f t="shared" si="7"/>
        <v>0</v>
      </c>
      <c r="AJ20" s="759">
        <f t="shared" si="8"/>
        <v>0</v>
      </c>
      <c r="AK20" s="759">
        <f t="shared" si="9"/>
        <v>0</v>
      </c>
      <c r="AL20" s="759">
        <f t="shared" si="10"/>
        <v>0</v>
      </c>
      <c r="BK20" s="772"/>
      <c r="BL20" s="766"/>
      <c r="BM20" s="772"/>
      <c r="BN20" s="767"/>
      <c r="BO20" s="772"/>
      <c r="BP20" s="772"/>
      <c r="BQ20" s="773" t="s">
        <v>301</v>
      </c>
      <c r="BR20" s="774" t="s">
        <v>185</v>
      </c>
      <c r="BS20" s="770">
        <f>'Resolución 137-2019-OS_CD'!AA282*Factores!$B$17</f>
        <v>1.2284909999999998</v>
      </c>
    </row>
    <row r="21" spans="2:71" ht="12.75">
      <c r="B21" s="643"/>
      <c r="C21" s="644"/>
      <c r="D21" s="643"/>
      <c r="E21" s="645"/>
      <c r="F21" s="642" t="s">
        <v>60</v>
      </c>
      <c r="G21" s="849"/>
      <c r="H21" s="849"/>
      <c r="I21" s="849">
        <f>'Resolución 137-2019-OS_CD'!I283*Factores!$B$17</f>
        <v>1.290536</v>
      </c>
      <c r="J21" s="849">
        <f>'Resolución 137-2019-OS_CD'!J283*Factores!$B$17</f>
        <v>1.2284909999999998</v>
      </c>
      <c r="K21" s="849">
        <f>'Resolución 137-2019-OS_CD'!K283*Factores!$B$17</f>
        <v>1.290536</v>
      </c>
      <c r="L21" s="849">
        <f>'Resolución 137-2019-OS_CD'!L283*Factores!$B$17</f>
        <v>1.2284909999999998</v>
      </c>
      <c r="M21" s="849">
        <f>'Resolución 137-2019-OS_CD'!M283*Factores!$B$17</f>
        <v>1.4394439999999997</v>
      </c>
      <c r="N21" s="849">
        <f>'Resolución 137-2019-OS_CD'!N283*Factores!$B$17</f>
        <v>1.36499</v>
      </c>
      <c r="O21" s="849">
        <f>'Resolución 137-2019-OS_CD'!O283*Factores!$B$17</f>
        <v>1.4394439999999997</v>
      </c>
      <c r="P21" s="849">
        <f>'Resolución 137-2019-OS_CD'!P283*Factores!$B$17</f>
        <v>1.36499</v>
      </c>
      <c r="T21" s="759">
        <v>0.98</v>
      </c>
      <c r="U21" s="759">
        <v>0.95</v>
      </c>
      <c r="V21" s="759">
        <v>0.98</v>
      </c>
      <c r="W21" s="759">
        <v>0.95</v>
      </c>
      <c r="X21" s="759">
        <v>1.1</v>
      </c>
      <c r="Y21" s="759">
        <v>1.06</v>
      </c>
      <c r="Z21" s="759">
        <v>1.1</v>
      </c>
      <c r="AA21" s="759">
        <v>1.06</v>
      </c>
      <c r="AC21" s="759">
        <f t="shared" si="1"/>
        <v>0</v>
      </c>
      <c r="AD21" s="759">
        <f t="shared" si="2"/>
        <v>0</v>
      </c>
      <c r="AE21" s="759">
        <f t="shared" si="3"/>
        <v>1</v>
      </c>
      <c r="AF21" s="759">
        <f t="shared" si="4"/>
        <v>1</v>
      </c>
      <c r="AG21" s="759">
        <f t="shared" si="5"/>
        <v>1</v>
      </c>
      <c r="AH21" s="759">
        <f t="shared" si="6"/>
        <v>1</v>
      </c>
      <c r="AI21" s="759">
        <f t="shared" si="7"/>
        <v>1</v>
      </c>
      <c r="AJ21" s="759">
        <f t="shared" si="8"/>
        <v>1</v>
      </c>
      <c r="AK21" s="759">
        <f t="shared" si="9"/>
        <v>1</v>
      </c>
      <c r="AL21" s="759">
        <f t="shared" si="10"/>
        <v>1</v>
      </c>
      <c r="BK21" s="772"/>
      <c r="BL21" s="766"/>
      <c r="BM21" s="772"/>
      <c r="BN21" s="767"/>
      <c r="BO21" s="772"/>
      <c r="BP21" s="772"/>
      <c r="BQ21" s="773" t="s">
        <v>300</v>
      </c>
      <c r="BR21" s="774" t="s">
        <v>185</v>
      </c>
      <c r="BS21" s="770">
        <f>'Resolución 137-2019-OS_CD'!AA283*Factores!$B$17</f>
        <v>1.290536</v>
      </c>
    </row>
    <row r="22" spans="2:71" ht="12.75">
      <c r="B22" s="643"/>
      <c r="C22" s="644"/>
      <c r="D22" s="643"/>
      <c r="E22" s="645"/>
      <c r="F22" s="642" t="s">
        <v>56</v>
      </c>
      <c r="G22" s="849">
        <f>+'Resolución 137-2019-OS_CD'!G284*Factores!$B$17</f>
        <v>0.670086</v>
      </c>
      <c r="H22" s="849">
        <f>+'Resolución 137-2019-OS_CD'!H284*Factores!$B$17</f>
        <v>0.5956319999999999</v>
      </c>
      <c r="I22" s="850"/>
      <c r="J22" s="850"/>
      <c r="K22" s="850"/>
      <c r="L22" s="850"/>
      <c r="M22" s="850"/>
      <c r="N22" s="850"/>
      <c r="O22" s="850"/>
      <c r="P22" s="850"/>
      <c r="R22" s="759">
        <v>0.51</v>
      </c>
      <c r="S22" s="759">
        <v>0.46</v>
      </c>
      <c r="AC22" s="759">
        <f t="shared" si="1"/>
        <v>1</v>
      </c>
      <c r="AD22" s="759">
        <f t="shared" si="2"/>
        <v>1</v>
      </c>
      <c r="AE22" s="759">
        <f t="shared" si="3"/>
        <v>0</v>
      </c>
      <c r="AF22" s="759">
        <f t="shared" si="4"/>
        <v>0</v>
      </c>
      <c r="AG22" s="759">
        <f t="shared" si="5"/>
        <v>0</v>
      </c>
      <c r="AH22" s="759">
        <f t="shared" si="6"/>
        <v>0</v>
      </c>
      <c r="AI22" s="759">
        <f t="shared" si="7"/>
        <v>0</v>
      </c>
      <c r="AJ22" s="759">
        <f t="shared" si="8"/>
        <v>0</v>
      </c>
      <c r="AK22" s="759">
        <f t="shared" si="9"/>
        <v>0</v>
      </c>
      <c r="AL22" s="759">
        <f t="shared" si="10"/>
        <v>0</v>
      </c>
      <c r="BK22" s="776"/>
      <c r="BL22" s="766"/>
      <c r="BM22" s="776"/>
      <c r="BN22" s="767"/>
      <c r="BO22" s="772"/>
      <c r="BP22" s="776"/>
      <c r="BQ22" s="769" t="s">
        <v>62</v>
      </c>
      <c r="BR22" s="769" t="s">
        <v>63</v>
      </c>
      <c r="BS22" s="770">
        <f>'Resolución 137-2019-OS_CD'!AA284*Factores!$B$17</f>
        <v>1.340172</v>
      </c>
    </row>
    <row r="23" spans="2:71" ht="12.75">
      <c r="B23" s="643"/>
      <c r="C23" s="644"/>
      <c r="D23" s="643"/>
      <c r="E23" s="645"/>
      <c r="F23" s="642" t="s">
        <v>272</v>
      </c>
      <c r="G23" s="849">
        <f>+'Resolución 137-2019-OS_CD'!G285*Factores!$B$17</f>
        <v>3.1146589999999996</v>
      </c>
      <c r="H23" s="849">
        <f>+'Resolución 137-2019-OS_CD'!H285*Factores!$B$17</f>
        <v>3.0526139999999997</v>
      </c>
      <c r="I23" s="850"/>
      <c r="J23" s="850"/>
      <c r="K23" s="850"/>
      <c r="L23" s="850"/>
      <c r="M23" s="850"/>
      <c r="N23" s="850"/>
      <c r="O23" s="850"/>
      <c r="P23" s="850"/>
      <c r="R23" s="759">
        <v>2.24</v>
      </c>
      <c r="S23" s="759">
        <v>2.18</v>
      </c>
      <c r="AC23" s="759">
        <f t="shared" si="1"/>
        <v>1</v>
      </c>
      <c r="AD23" s="759">
        <f t="shared" si="2"/>
        <v>1</v>
      </c>
      <c r="AE23" s="759">
        <f t="shared" si="3"/>
        <v>0</v>
      </c>
      <c r="AF23" s="759">
        <f t="shared" si="4"/>
        <v>0</v>
      </c>
      <c r="AG23" s="759">
        <f t="shared" si="5"/>
        <v>0</v>
      </c>
      <c r="AH23" s="759">
        <f t="shared" si="6"/>
        <v>0</v>
      </c>
      <c r="AI23" s="759">
        <f t="shared" si="7"/>
        <v>0</v>
      </c>
      <c r="AJ23" s="759">
        <f t="shared" si="8"/>
        <v>0</v>
      </c>
      <c r="AK23" s="759">
        <f t="shared" si="9"/>
        <v>0</v>
      </c>
      <c r="AL23" s="759">
        <f t="shared" si="10"/>
        <v>0</v>
      </c>
      <c r="BK23" s="765" t="s">
        <v>16</v>
      </c>
      <c r="BL23" s="765" t="s">
        <v>64</v>
      </c>
      <c r="BM23" s="765" t="s">
        <v>53</v>
      </c>
      <c r="BN23" s="765" t="s">
        <v>18</v>
      </c>
      <c r="BO23" s="768" t="s">
        <v>65</v>
      </c>
      <c r="BP23" s="765" t="s">
        <v>54</v>
      </c>
      <c r="BQ23" s="769" t="s">
        <v>55</v>
      </c>
      <c r="BR23" s="769" t="s">
        <v>56</v>
      </c>
      <c r="BS23" s="770">
        <f>'Resolución 137-2019-OS_CD'!AA285*Factores!$B$17</f>
        <v>0.670086</v>
      </c>
    </row>
    <row r="24" spans="2:71" ht="12.75">
      <c r="B24" s="643"/>
      <c r="C24" s="644"/>
      <c r="D24" s="777" t="s">
        <v>21</v>
      </c>
      <c r="E24" s="740" t="s">
        <v>22</v>
      </c>
      <c r="F24" s="642" t="s">
        <v>63</v>
      </c>
      <c r="G24" s="849">
        <f>+'Resolución 137-2019-OS_CD'!G286*Factores!$B$17</f>
        <v>2.705162</v>
      </c>
      <c r="H24" s="849">
        <f>+'Resolución 137-2019-OS_CD'!H286*Factores!$B$17</f>
        <v>2.630708</v>
      </c>
      <c r="I24" s="850"/>
      <c r="J24" s="850"/>
      <c r="K24" s="850"/>
      <c r="L24" s="850"/>
      <c r="M24" s="850"/>
      <c r="N24" s="850"/>
      <c r="O24" s="850"/>
      <c r="P24" s="850"/>
      <c r="R24" s="759">
        <v>1.96</v>
      </c>
      <c r="S24" s="759">
        <v>1.92</v>
      </c>
      <c r="AC24" s="759">
        <f t="shared" si="1"/>
        <v>1</v>
      </c>
      <c r="AD24" s="759">
        <f t="shared" si="2"/>
        <v>1</v>
      </c>
      <c r="AE24" s="759">
        <f t="shared" si="3"/>
        <v>0</v>
      </c>
      <c r="AF24" s="759">
        <f t="shared" si="4"/>
        <v>0</v>
      </c>
      <c r="AG24" s="759">
        <f t="shared" si="5"/>
        <v>0</v>
      </c>
      <c r="AH24" s="759">
        <f t="shared" si="6"/>
        <v>0</v>
      </c>
      <c r="AI24" s="759">
        <f t="shared" si="7"/>
        <v>0</v>
      </c>
      <c r="AJ24" s="759">
        <f t="shared" si="8"/>
        <v>0</v>
      </c>
      <c r="AK24" s="759">
        <f t="shared" si="9"/>
        <v>0</v>
      </c>
      <c r="AL24" s="759">
        <f t="shared" si="10"/>
        <v>0</v>
      </c>
      <c r="BK24" s="772"/>
      <c r="BL24" s="772"/>
      <c r="BM24" s="772"/>
      <c r="BN24" s="772"/>
      <c r="BO24" s="772"/>
      <c r="BP24" s="772"/>
      <c r="BQ24" s="778" t="s">
        <v>59</v>
      </c>
      <c r="BR24" s="769" t="s">
        <v>185</v>
      </c>
      <c r="BS24" s="770">
        <f>'Resolución 137-2019-OS_CD'!AA286*Factores!$B$17</f>
        <v>1.290536</v>
      </c>
    </row>
    <row r="25" spans="2:71" ht="12.75">
      <c r="B25" s="643"/>
      <c r="C25" s="644"/>
      <c r="D25" s="643"/>
      <c r="E25" s="645"/>
      <c r="F25" s="642" t="s">
        <v>60</v>
      </c>
      <c r="G25" s="849"/>
      <c r="H25" s="849"/>
      <c r="I25" s="849">
        <f>+'Resolución 137-2019-OS_CD'!I287*Factores!$B$17</f>
        <v>1.290536</v>
      </c>
      <c r="J25" s="849">
        <f>+'Resolución 137-2019-OS_CD'!J287*Factores!$B$17</f>
        <v>1.2284909999999998</v>
      </c>
      <c r="K25" s="849">
        <f>+'Resolución 137-2019-OS_CD'!K287*Factores!$B$17</f>
        <v>1.290536</v>
      </c>
      <c r="L25" s="849">
        <f>+'Resolución 137-2019-OS_CD'!L287*Factores!$B$17</f>
        <v>1.2284909999999998</v>
      </c>
      <c r="M25" s="849">
        <f>+'Resolución 137-2019-OS_CD'!M287*Factores!$B$17</f>
        <v>1.4394439999999997</v>
      </c>
      <c r="N25" s="849">
        <f>+'Resolución 137-2019-OS_CD'!N287*Factores!$B$17</f>
        <v>1.36499</v>
      </c>
      <c r="O25" s="849">
        <f>+'Resolución 137-2019-OS_CD'!O287*Factores!$B$17</f>
        <v>1.4394439999999997</v>
      </c>
      <c r="P25" s="849">
        <f>+'Resolución 137-2019-OS_CD'!P287*Factores!$B$17</f>
        <v>1.36499</v>
      </c>
      <c r="T25" s="759">
        <v>0.98</v>
      </c>
      <c r="U25" s="759">
        <v>0.95</v>
      </c>
      <c r="V25" s="759">
        <v>0.98</v>
      </c>
      <c r="W25" s="759">
        <v>0.95</v>
      </c>
      <c r="X25" s="759">
        <v>1.1</v>
      </c>
      <c r="Y25" s="759">
        <v>1.06</v>
      </c>
      <c r="Z25" s="759">
        <v>1.1</v>
      </c>
      <c r="AA25" s="759">
        <v>1.06</v>
      </c>
      <c r="AC25" s="759">
        <f t="shared" si="1"/>
        <v>0</v>
      </c>
      <c r="AD25" s="759">
        <f t="shared" si="2"/>
        <v>0</v>
      </c>
      <c r="AE25" s="759">
        <f t="shared" si="3"/>
        <v>1</v>
      </c>
      <c r="AF25" s="759">
        <f t="shared" si="4"/>
        <v>1</v>
      </c>
      <c r="AG25" s="759">
        <f t="shared" si="5"/>
        <v>1</v>
      </c>
      <c r="AH25" s="759">
        <f t="shared" si="6"/>
        <v>1</v>
      </c>
      <c r="AI25" s="759">
        <f t="shared" si="7"/>
        <v>1</v>
      </c>
      <c r="AJ25" s="759">
        <f t="shared" si="8"/>
        <v>1</v>
      </c>
      <c r="AK25" s="759">
        <f t="shared" si="9"/>
        <v>1</v>
      </c>
      <c r="AL25" s="759">
        <f t="shared" si="10"/>
        <v>1</v>
      </c>
      <c r="BK25" s="772"/>
      <c r="BL25" s="772"/>
      <c r="BM25" s="772"/>
      <c r="BN25" s="772"/>
      <c r="BO25" s="772"/>
      <c r="BP25" s="772"/>
      <c r="BQ25" s="778" t="s">
        <v>61</v>
      </c>
      <c r="BR25" s="769" t="s">
        <v>185</v>
      </c>
      <c r="BS25" s="770">
        <f>'Resolución 137-2019-OS_CD'!AA287*Factores!$B$17</f>
        <v>1.4394439999999997</v>
      </c>
    </row>
    <row r="26" spans="2:71" ht="12.75">
      <c r="B26" s="643"/>
      <c r="C26" s="644"/>
      <c r="D26" s="643"/>
      <c r="E26" s="645"/>
      <c r="F26" s="642" t="s">
        <v>56</v>
      </c>
      <c r="G26" s="849">
        <f>+'Resolución 137-2019-OS_CD'!G288*Factores!$B$17</f>
        <v>0.670086</v>
      </c>
      <c r="H26" s="849">
        <f>+'Resolución 137-2019-OS_CD'!H288*Factores!$B$17</f>
        <v>0.5956319999999999</v>
      </c>
      <c r="I26" s="850"/>
      <c r="J26" s="850"/>
      <c r="K26" s="850"/>
      <c r="L26" s="850"/>
      <c r="M26" s="850"/>
      <c r="N26" s="850"/>
      <c r="O26" s="850"/>
      <c r="P26" s="850"/>
      <c r="R26" s="759">
        <v>0.51</v>
      </c>
      <c r="S26" s="759">
        <v>0.46</v>
      </c>
      <c r="AC26" s="759">
        <f t="shared" si="1"/>
        <v>1</v>
      </c>
      <c r="AD26" s="759">
        <f t="shared" si="2"/>
        <v>1</v>
      </c>
      <c r="AE26" s="759">
        <f t="shared" si="3"/>
        <v>0</v>
      </c>
      <c r="AF26" s="759">
        <f t="shared" si="4"/>
        <v>0</v>
      </c>
      <c r="AG26" s="759">
        <f t="shared" si="5"/>
        <v>0</v>
      </c>
      <c r="AH26" s="759">
        <f t="shared" si="6"/>
        <v>0</v>
      </c>
      <c r="AI26" s="759">
        <f t="shared" si="7"/>
        <v>0</v>
      </c>
      <c r="AJ26" s="759">
        <f t="shared" si="8"/>
        <v>0</v>
      </c>
      <c r="AK26" s="759">
        <f t="shared" si="9"/>
        <v>0</v>
      </c>
      <c r="AL26" s="759">
        <f t="shared" si="10"/>
        <v>0</v>
      </c>
      <c r="BK26" s="772"/>
      <c r="BL26" s="772"/>
      <c r="BM26" s="772"/>
      <c r="BN26" s="772"/>
      <c r="BO26" s="772"/>
      <c r="BP26" s="772"/>
      <c r="BQ26" s="769" t="s">
        <v>62</v>
      </c>
      <c r="BR26" s="769" t="s">
        <v>63</v>
      </c>
      <c r="BS26" s="770">
        <f>'Resolución 137-2019-OS_CD'!AA288*Factores!$B$17</f>
        <v>2.6927529999999997</v>
      </c>
    </row>
    <row r="27" spans="2:71" ht="12.75">
      <c r="B27" s="643"/>
      <c r="C27" s="644"/>
      <c r="D27" s="643"/>
      <c r="E27" s="645"/>
      <c r="F27" s="642" t="s">
        <v>272</v>
      </c>
      <c r="G27" s="849">
        <f>+'Resolución 137-2019-OS_CD'!G289*Factores!$B$17</f>
        <v>3.1146589999999996</v>
      </c>
      <c r="H27" s="849">
        <f>+'Resolución 137-2019-OS_CD'!H289*Factores!$B$17</f>
        <v>3.0526139999999997</v>
      </c>
      <c r="I27" s="850"/>
      <c r="J27" s="850"/>
      <c r="K27" s="850"/>
      <c r="L27" s="850"/>
      <c r="M27" s="850"/>
      <c r="N27" s="850"/>
      <c r="O27" s="850"/>
      <c r="P27" s="850"/>
      <c r="R27" s="759">
        <v>2.24</v>
      </c>
      <c r="S27" s="759">
        <v>2.18</v>
      </c>
      <c r="AC27" s="759">
        <f t="shared" si="1"/>
        <v>1</v>
      </c>
      <c r="AD27" s="759">
        <f t="shared" si="2"/>
        <v>1</v>
      </c>
      <c r="AE27" s="759">
        <f t="shared" si="3"/>
        <v>0</v>
      </c>
      <c r="AF27" s="759">
        <f t="shared" si="4"/>
        <v>0</v>
      </c>
      <c r="AG27" s="759">
        <f t="shared" si="5"/>
        <v>0</v>
      </c>
      <c r="AH27" s="759">
        <f t="shared" si="6"/>
        <v>0</v>
      </c>
      <c r="AI27" s="759">
        <f t="shared" si="7"/>
        <v>0</v>
      </c>
      <c r="AJ27" s="759">
        <f t="shared" si="8"/>
        <v>0</v>
      </c>
      <c r="AK27" s="759">
        <f t="shared" si="9"/>
        <v>0</v>
      </c>
      <c r="AL27" s="759">
        <f t="shared" si="10"/>
        <v>0</v>
      </c>
      <c r="BK27" s="772"/>
      <c r="BL27" s="772"/>
      <c r="BM27" s="772"/>
      <c r="BN27" s="772"/>
      <c r="BO27" s="772"/>
      <c r="BP27" s="776"/>
      <c r="BQ27" s="769" t="s">
        <v>66</v>
      </c>
      <c r="BR27" s="769" t="s">
        <v>20</v>
      </c>
      <c r="BS27" s="770">
        <f>'Resolución 137-2019-OS_CD'!AA289*Factores!$B$17</f>
        <v>3.1146589999999996</v>
      </c>
    </row>
    <row r="28" spans="2:71" ht="12.75">
      <c r="B28" s="643"/>
      <c r="C28" s="650" t="s">
        <v>23</v>
      </c>
      <c r="D28" s="640" t="s">
        <v>24</v>
      </c>
      <c r="E28" s="641" t="s">
        <v>25</v>
      </c>
      <c r="F28" s="779" t="s">
        <v>273</v>
      </c>
      <c r="G28" s="849">
        <f>'Resolución 137-2019-OS_CD'!G290*Factores!$B$18</f>
        <v>4.328647</v>
      </c>
      <c r="H28" s="849">
        <f>'Resolución 137-2019-OS_CD'!H290*Factores!$B$18</f>
        <v>4.068184</v>
      </c>
      <c r="I28" s="850"/>
      <c r="J28" s="850"/>
      <c r="K28" s="850"/>
      <c r="L28" s="850"/>
      <c r="M28" s="850"/>
      <c r="N28" s="850"/>
      <c r="O28" s="850"/>
      <c r="P28" s="850"/>
      <c r="R28" s="759">
        <v>3.18</v>
      </c>
      <c r="S28" s="759">
        <v>2.98</v>
      </c>
      <c r="AC28" s="759">
        <f t="shared" si="1"/>
        <v>1</v>
      </c>
      <c r="AD28" s="759">
        <f t="shared" si="2"/>
        <v>1</v>
      </c>
      <c r="AE28" s="759">
        <f t="shared" si="3"/>
        <v>0</v>
      </c>
      <c r="AF28" s="759">
        <f t="shared" si="4"/>
        <v>0</v>
      </c>
      <c r="AG28" s="759">
        <f t="shared" si="5"/>
        <v>0</v>
      </c>
      <c r="AH28" s="759">
        <f t="shared" si="6"/>
        <v>0</v>
      </c>
      <c r="AI28" s="759">
        <f t="shared" si="7"/>
        <v>0</v>
      </c>
      <c r="AJ28" s="759">
        <f t="shared" si="8"/>
        <v>0</v>
      </c>
      <c r="AK28" s="759">
        <f t="shared" si="9"/>
        <v>0</v>
      </c>
      <c r="AL28" s="759">
        <f t="shared" si="10"/>
        <v>0</v>
      </c>
      <c r="BK28" s="772"/>
      <c r="BL28" s="772"/>
      <c r="BM28" s="772"/>
      <c r="BN28" s="772"/>
      <c r="BO28" s="772"/>
      <c r="BP28" s="765" t="s">
        <v>2</v>
      </c>
      <c r="BQ28" s="769" t="s">
        <v>55</v>
      </c>
      <c r="BR28" s="769" t="s">
        <v>56</v>
      </c>
      <c r="BS28" s="770">
        <f>'Resolución 137-2019-OS_CD'!AA290*Factores!$B$17</f>
        <v>0.5956319999999999</v>
      </c>
    </row>
    <row r="29" spans="2:71" ht="12.75">
      <c r="B29" s="643"/>
      <c r="C29" s="650" t="s">
        <v>26</v>
      </c>
      <c r="D29" s="640" t="s">
        <v>27</v>
      </c>
      <c r="E29" s="641" t="s">
        <v>28</v>
      </c>
      <c r="F29" s="642" t="s">
        <v>272</v>
      </c>
      <c r="G29" s="849">
        <f>'Resolución 137-2019-OS_CD'!G291*Factores!$B$18</f>
        <v>4.328647</v>
      </c>
      <c r="H29" s="849">
        <f>'Resolución 137-2019-OS_CD'!H291*Factores!$B$18</f>
        <v>4.068184</v>
      </c>
      <c r="I29" s="850"/>
      <c r="J29" s="850"/>
      <c r="K29" s="850"/>
      <c r="L29" s="850"/>
      <c r="M29" s="850"/>
      <c r="N29" s="850"/>
      <c r="O29" s="850"/>
      <c r="P29" s="850"/>
      <c r="R29" s="759">
        <v>3.18</v>
      </c>
      <c r="S29" s="759">
        <v>2.98</v>
      </c>
      <c r="AC29" s="759">
        <f t="shared" si="1"/>
        <v>1</v>
      </c>
      <c r="AD29" s="759">
        <f t="shared" si="2"/>
        <v>1</v>
      </c>
      <c r="AE29" s="759">
        <f t="shared" si="3"/>
        <v>0</v>
      </c>
      <c r="AF29" s="759">
        <f t="shared" si="4"/>
        <v>0</v>
      </c>
      <c r="AG29" s="759">
        <f t="shared" si="5"/>
        <v>0</v>
      </c>
      <c r="AH29" s="759">
        <f t="shared" si="6"/>
        <v>0</v>
      </c>
      <c r="AI29" s="759">
        <f t="shared" si="7"/>
        <v>0</v>
      </c>
      <c r="AJ29" s="759">
        <f t="shared" si="8"/>
        <v>0</v>
      </c>
      <c r="AK29" s="759">
        <f t="shared" si="9"/>
        <v>0</v>
      </c>
      <c r="AL29" s="759">
        <f t="shared" si="10"/>
        <v>0</v>
      </c>
      <c r="BK29" s="772"/>
      <c r="BL29" s="772"/>
      <c r="BM29" s="772"/>
      <c r="BN29" s="772"/>
      <c r="BO29" s="772"/>
      <c r="BP29" s="772"/>
      <c r="BQ29" s="778" t="s">
        <v>59</v>
      </c>
      <c r="BR29" s="769" t="s">
        <v>185</v>
      </c>
      <c r="BS29" s="770">
        <f>'Resolución 137-2019-OS_CD'!AA291*Factores!$B$17</f>
        <v>1.2284909999999998</v>
      </c>
    </row>
    <row r="30" spans="2:71" ht="12.75">
      <c r="B30" s="643"/>
      <c r="C30" s="644"/>
      <c r="D30" s="777" t="s">
        <v>29</v>
      </c>
      <c r="E30" s="740" t="s">
        <v>30</v>
      </c>
      <c r="F30" s="642" t="s">
        <v>272</v>
      </c>
      <c r="G30" s="849"/>
      <c r="H30" s="849">
        <f>'Resolución 137-2019-OS_CD'!H292*Factores!$B$18</f>
        <v>4.068184</v>
      </c>
      <c r="I30" s="850"/>
      <c r="J30" s="850"/>
      <c r="K30" s="850"/>
      <c r="L30" s="850"/>
      <c r="M30" s="850"/>
      <c r="N30" s="850"/>
      <c r="O30" s="850"/>
      <c r="P30" s="850"/>
      <c r="S30" s="759">
        <v>2.98</v>
      </c>
      <c r="AC30" s="759">
        <f t="shared" si="1"/>
        <v>0</v>
      </c>
      <c r="AD30" s="759">
        <f t="shared" si="2"/>
        <v>1</v>
      </c>
      <c r="AE30" s="759">
        <f t="shared" si="3"/>
        <v>0</v>
      </c>
      <c r="AF30" s="759">
        <f t="shared" si="4"/>
        <v>0</v>
      </c>
      <c r="AG30" s="759">
        <f t="shared" si="5"/>
        <v>0</v>
      </c>
      <c r="AH30" s="759">
        <f t="shared" si="6"/>
        <v>0</v>
      </c>
      <c r="AI30" s="759">
        <f t="shared" si="7"/>
        <v>0</v>
      </c>
      <c r="AJ30" s="759">
        <f t="shared" si="8"/>
        <v>0</v>
      </c>
      <c r="AK30" s="759">
        <f t="shared" si="9"/>
        <v>0</v>
      </c>
      <c r="AL30" s="759">
        <f t="shared" si="10"/>
        <v>0</v>
      </c>
      <c r="BK30" s="772"/>
      <c r="BL30" s="772"/>
      <c r="BM30" s="772"/>
      <c r="BN30" s="772"/>
      <c r="BO30" s="772"/>
      <c r="BP30" s="772"/>
      <c r="BQ30" s="778" t="s">
        <v>61</v>
      </c>
      <c r="BR30" s="769" t="s">
        <v>185</v>
      </c>
      <c r="BS30" s="770">
        <f>'Resolución 137-2019-OS_CD'!AA292*Factores!$B$17</f>
        <v>1.36499</v>
      </c>
    </row>
    <row r="31" spans="2:71" ht="12.75">
      <c r="B31" s="643"/>
      <c r="C31" s="644"/>
      <c r="D31" s="777" t="s">
        <v>31</v>
      </c>
      <c r="E31" s="740" t="s">
        <v>32</v>
      </c>
      <c r="F31" s="642" t="s">
        <v>272</v>
      </c>
      <c r="G31" s="849"/>
      <c r="H31" s="849">
        <f>'Resolución 137-2019-OS_CD'!H293*Factores!$B$18</f>
        <v>4.068184</v>
      </c>
      <c r="I31" s="850"/>
      <c r="J31" s="850"/>
      <c r="K31" s="850"/>
      <c r="L31" s="850"/>
      <c r="M31" s="850"/>
      <c r="N31" s="850"/>
      <c r="O31" s="850"/>
      <c r="P31" s="850"/>
      <c r="S31" s="759">
        <v>2.98</v>
      </c>
      <c r="AC31" s="759">
        <f t="shared" si="1"/>
        <v>0</v>
      </c>
      <c r="AD31" s="759">
        <f t="shared" si="2"/>
        <v>1</v>
      </c>
      <c r="AE31" s="759">
        <f t="shared" si="3"/>
        <v>0</v>
      </c>
      <c r="AF31" s="759">
        <f t="shared" si="4"/>
        <v>0</v>
      </c>
      <c r="AG31" s="759">
        <f t="shared" si="5"/>
        <v>0</v>
      </c>
      <c r="AH31" s="759">
        <f t="shared" si="6"/>
        <v>0</v>
      </c>
      <c r="AI31" s="759">
        <f t="shared" si="7"/>
        <v>0</v>
      </c>
      <c r="AJ31" s="759">
        <f t="shared" si="8"/>
        <v>0</v>
      </c>
      <c r="AK31" s="759">
        <f t="shared" si="9"/>
        <v>0</v>
      </c>
      <c r="AL31" s="759">
        <f t="shared" si="10"/>
        <v>0</v>
      </c>
      <c r="BK31" s="772"/>
      <c r="BL31" s="772"/>
      <c r="BM31" s="772"/>
      <c r="BN31" s="772"/>
      <c r="BO31" s="772"/>
      <c r="BP31" s="772"/>
      <c r="BQ31" s="769" t="s">
        <v>62</v>
      </c>
      <c r="BR31" s="769" t="s">
        <v>63</v>
      </c>
      <c r="BS31" s="770">
        <f>'Resolución 137-2019-OS_CD'!AA293*Factores!$B$17</f>
        <v>2.630708</v>
      </c>
    </row>
    <row r="32" spans="2:71" ht="12.75">
      <c r="B32" s="647"/>
      <c r="C32" s="654"/>
      <c r="D32" s="780" t="s">
        <v>33</v>
      </c>
      <c r="E32" s="743" t="s">
        <v>34</v>
      </c>
      <c r="F32" s="642" t="s">
        <v>272</v>
      </c>
      <c r="G32" s="849"/>
      <c r="H32" s="849">
        <f>'Resolución 137-2019-OS_CD'!H294*Factores!$B$18</f>
        <v>4.068184</v>
      </c>
      <c r="I32" s="850"/>
      <c r="J32" s="850"/>
      <c r="K32" s="850"/>
      <c r="L32" s="850"/>
      <c r="M32" s="850"/>
      <c r="N32" s="850"/>
      <c r="O32" s="850"/>
      <c r="P32" s="850"/>
      <c r="S32" s="759">
        <v>2.98</v>
      </c>
      <c r="AC32" s="759">
        <f>+IF(R32=G32,0,1)</f>
        <v>0</v>
      </c>
      <c r="AD32" s="759">
        <f t="shared" si="2"/>
        <v>1</v>
      </c>
      <c r="AE32" s="759">
        <f t="shared" si="3"/>
        <v>0</v>
      </c>
      <c r="AF32" s="759">
        <f t="shared" si="4"/>
        <v>0</v>
      </c>
      <c r="AG32" s="759">
        <f t="shared" si="5"/>
        <v>0</v>
      </c>
      <c r="AH32" s="759">
        <f t="shared" si="6"/>
        <v>0</v>
      </c>
      <c r="AI32" s="759">
        <f t="shared" si="7"/>
        <v>0</v>
      </c>
      <c r="AJ32" s="759">
        <f t="shared" si="8"/>
        <v>0</v>
      </c>
      <c r="AK32" s="759">
        <f t="shared" si="9"/>
        <v>0</v>
      </c>
      <c r="AL32" s="759">
        <f t="shared" si="10"/>
        <v>0</v>
      </c>
      <c r="AM32" s="781">
        <f>+SUM(AC10:AL32)</f>
        <v>83</v>
      </c>
      <c r="BK32" s="776"/>
      <c r="BL32" s="776"/>
      <c r="BM32" s="776"/>
      <c r="BN32" s="772"/>
      <c r="BO32" s="776"/>
      <c r="BP32" s="772"/>
      <c r="BQ32" s="769" t="s">
        <v>66</v>
      </c>
      <c r="BR32" s="769" t="s">
        <v>20</v>
      </c>
      <c r="BS32" s="770">
        <f>'Resolución 137-2019-OS_CD'!AA294*Factores!$B$17</f>
        <v>3.0526139999999997</v>
      </c>
    </row>
    <row r="33" spans="2:71" ht="25.5">
      <c r="B33" s="762" t="s">
        <v>276</v>
      </c>
      <c r="C33" s="762"/>
      <c r="D33" s="762"/>
      <c r="E33" s="762"/>
      <c r="F33" s="762"/>
      <c r="G33" s="762"/>
      <c r="H33" s="633"/>
      <c r="I33" s="762"/>
      <c r="J33" s="762"/>
      <c r="K33" s="762"/>
      <c r="L33" s="762"/>
      <c r="M33" s="762"/>
      <c r="N33" s="762"/>
      <c r="O33" s="762"/>
      <c r="P33" s="762"/>
      <c r="BK33" s="765" t="s">
        <v>67</v>
      </c>
      <c r="BL33" s="765" t="s">
        <v>68</v>
      </c>
      <c r="BM33" s="782" t="s">
        <v>53</v>
      </c>
      <c r="BN33" s="765" t="s">
        <v>18</v>
      </c>
      <c r="BO33" s="783" t="s">
        <v>69</v>
      </c>
      <c r="BP33" s="765" t="s">
        <v>54</v>
      </c>
      <c r="BQ33" s="769" t="s">
        <v>151</v>
      </c>
      <c r="BR33" s="769" t="s">
        <v>186</v>
      </c>
      <c r="BS33" s="770">
        <f>'Resolución 137-2019-OS_CD'!AA295*Factores!$B$18</f>
        <v>4.316244</v>
      </c>
    </row>
    <row r="34" spans="2:71" ht="12.75">
      <c r="B34" s="762" t="s">
        <v>277</v>
      </c>
      <c r="C34" s="762"/>
      <c r="D34" s="762"/>
      <c r="E34" s="762"/>
      <c r="F34" s="762"/>
      <c r="G34" s="762"/>
      <c r="H34" s="633"/>
      <c r="I34" s="762"/>
      <c r="J34" s="762"/>
      <c r="K34" s="762"/>
      <c r="L34" s="762"/>
      <c r="M34" s="762"/>
      <c r="N34" s="762"/>
      <c r="O34" s="762"/>
      <c r="P34" s="762"/>
      <c r="BK34" s="772"/>
      <c r="BL34" s="776"/>
      <c r="BM34" s="784"/>
      <c r="BN34" s="776"/>
      <c r="BO34" s="785"/>
      <c r="BP34" s="786" t="s">
        <v>2</v>
      </c>
      <c r="BQ34" s="769" t="s">
        <v>151</v>
      </c>
      <c r="BR34" s="769" t="s">
        <v>186</v>
      </c>
      <c r="BS34" s="770">
        <f>'Resolución 137-2019-OS_CD'!AA296*Factores!$B$18</f>
        <v>4.068184</v>
      </c>
    </row>
    <row r="35" spans="2:71" ht="25.5">
      <c r="B35" s="762" t="s">
        <v>278</v>
      </c>
      <c r="C35" s="762"/>
      <c r="D35" s="762"/>
      <c r="E35" s="762"/>
      <c r="F35" s="762"/>
      <c r="G35" s="762"/>
      <c r="H35" s="633"/>
      <c r="I35" s="762"/>
      <c r="J35" s="762"/>
      <c r="K35" s="762"/>
      <c r="L35" s="762"/>
      <c r="M35" s="762"/>
      <c r="N35" s="762"/>
      <c r="O35" s="762"/>
      <c r="P35" s="762"/>
      <c r="BK35" s="765" t="s">
        <v>37</v>
      </c>
      <c r="BL35" s="787" t="s">
        <v>70</v>
      </c>
      <c r="BM35" s="772" t="s">
        <v>71</v>
      </c>
      <c r="BN35" s="772" t="s">
        <v>18</v>
      </c>
      <c r="BO35" s="788" t="s">
        <v>72</v>
      </c>
      <c r="BP35" s="789" t="s">
        <v>54</v>
      </c>
      <c r="BQ35" s="790" t="s">
        <v>66</v>
      </c>
      <c r="BR35" s="790" t="s">
        <v>40</v>
      </c>
      <c r="BS35" s="770">
        <f>'Resolución 137-2019-OS_CD'!AA297*Factores!$B$18</f>
        <v>12.750283999999999</v>
      </c>
    </row>
    <row r="36" spans="2:71" ht="12.75">
      <c r="B36" s="762"/>
      <c r="C36" s="762"/>
      <c r="D36" s="762"/>
      <c r="E36" s="762"/>
      <c r="F36" s="762"/>
      <c r="G36" s="762"/>
      <c r="H36" s="633"/>
      <c r="I36" s="762"/>
      <c r="J36" s="762"/>
      <c r="K36" s="762"/>
      <c r="L36" s="762"/>
      <c r="M36" s="762"/>
      <c r="N36" s="762"/>
      <c r="O36" s="762"/>
      <c r="P36" s="762"/>
      <c r="BK36" s="791"/>
      <c r="BL36" s="787"/>
      <c r="BM36" s="791" t="s">
        <v>152</v>
      </c>
      <c r="BN36" s="791"/>
      <c r="BO36" s="792"/>
      <c r="BP36" s="789" t="s">
        <v>2</v>
      </c>
      <c r="BQ36" s="790" t="s">
        <v>66</v>
      </c>
      <c r="BR36" s="790" t="s">
        <v>40</v>
      </c>
      <c r="BS36" s="793">
        <f>'Resolución 137-2019-OS_CD'!AA298*Factores!$B$18</f>
        <v>12.725477999999999</v>
      </c>
    </row>
    <row r="37" spans="2:71" ht="25.5">
      <c r="B37" s="762"/>
      <c r="C37" s="762"/>
      <c r="D37" s="762"/>
      <c r="E37" s="762"/>
      <c r="F37" s="762"/>
      <c r="G37" s="762"/>
      <c r="H37" s="633"/>
      <c r="I37" s="762"/>
      <c r="J37" s="762"/>
      <c r="K37" s="762"/>
      <c r="L37" s="762"/>
      <c r="M37" s="762"/>
      <c r="N37" s="762"/>
      <c r="O37" s="762"/>
      <c r="P37" s="762"/>
      <c r="BK37" s="772"/>
      <c r="BL37" s="795" t="s">
        <v>70</v>
      </c>
      <c r="BM37" s="765" t="s">
        <v>71</v>
      </c>
      <c r="BN37" s="765" t="s">
        <v>18</v>
      </c>
      <c r="BO37" s="768" t="s">
        <v>72</v>
      </c>
      <c r="BP37" s="794" t="s">
        <v>54</v>
      </c>
      <c r="BQ37" s="769" t="s">
        <v>66</v>
      </c>
      <c r="BR37" s="769" t="s">
        <v>40</v>
      </c>
      <c r="BS37" s="793">
        <f>'Resolución 137-2019-OS_CD'!AA299*Factores!$B$18</f>
        <v>13.333224999999999</v>
      </c>
    </row>
    <row r="38" spans="2:71" ht="15.75">
      <c r="B38" s="632" t="s">
        <v>311</v>
      </c>
      <c r="C38" s="762"/>
      <c r="D38" s="633"/>
      <c r="E38" s="633"/>
      <c r="F38" s="633"/>
      <c r="G38" s="633"/>
      <c r="H38" s="633"/>
      <c r="I38" s="762"/>
      <c r="J38" s="762"/>
      <c r="K38" s="762"/>
      <c r="L38" s="762"/>
      <c r="M38" s="762"/>
      <c r="N38" s="762"/>
      <c r="O38" s="762"/>
      <c r="P38" s="762"/>
      <c r="BK38" s="772"/>
      <c r="BL38" s="796"/>
      <c r="BM38" s="776" t="s">
        <v>245</v>
      </c>
      <c r="BN38" s="776"/>
      <c r="BO38" s="776"/>
      <c r="BP38" s="794" t="s">
        <v>2</v>
      </c>
      <c r="BQ38" s="769" t="s">
        <v>66</v>
      </c>
      <c r="BR38" s="769" t="s">
        <v>40</v>
      </c>
      <c r="BS38" s="793">
        <f>'Resolución 137-2019-OS_CD'!AA300*Factores!$B$18</f>
        <v>13.606091000000001</v>
      </c>
    </row>
    <row r="39" spans="2:71" ht="12.75">
      <c r="B39" s="762"/>
      <c r="C39" s="762"/>
      <c r="D39" s="762"/>
      <c r="E39" s="762"/>
      <c r="F39" s="633"/>
      <c r="G39" s="974" t="s">
        <v>307</v>
      </c>
      <c r="H39" s="975"/>
      <c r="I39" s="974" t="s">
        <v>308</v>
      </c>
      <c r="J39" s="975"/>
      <c r="K39" s="976" t="s">
        <v>309</v>
      </c>
      <c r="L39" s="977"/>
      <c r="M39" s="978" t="s">
        <v>310</v>
      </c>
      <c r="N39" s="979"/>
      <c r="O39" s="762"/>
      <c r="P39" s="762"/>
      <c r="BK39" s="772"/>
      <c r="BL39" s="787" t="s">
        <v>177</v>
      </c>
      <c r="BM39" s="772" t="s">
        <v>71</v>
      </c>
      <c r="BN39" s="772" t="s">
        <v>18</v>
      </c>
      <c r="BO39" s="788" t="s">
        <v>187</v>
      </c>
      <c r="BP39" s="789" t="s">
        <v>54</v>
      </c>
      <c r="BQ39" s="790" t="s">
        <v>66</v>
      </c>
      <c r="BR39" s="790" t="s">
        <v>40</v>
      </c>
      <c r="BS39" s="793">
        <f>'Resolución 137-2019-OS_CD'!AA301*Factores!$B$18</f>
        <v>13.333224999999999</v>
      </c>
    </row>
    <row r="40" spans="2:71" ht="12.75">
      <c r="B40" s="635" t="s">
        <v>6</v>
      </c>
      <c r="C40" s="635" t="s">
        <v>3</v>
      </c>
      <c r="D40" s="635" t="s">
        <v>4</v>
      </c>
      <c r="E40" s="635" t="s">
        <v>7</v>
      </c>
      <c r="F40" s="635" t="s">
        <v>49</v>
      </c>
      <c r="G40" s="635" t="s">
        <v>1</v>
      </c>
      <c r="H40" s="635" t="s">
        <v>2</v>
      </c>
      <c r="I40" s="635" t="s">
        <v>1</v>
      </c>
      <c r="J40" s="635" t="s">
        <v>2</v>
      </c>
      <c r="K40" s="635" t="s">
        <v>1</v>
      </c>
      <c r="L40" s="635" t="s">
        <v>2</v>
      </c>
      <c r="M40" s="635" t="s">
        <v>1</v>
      </c>
      <c r="N40" s="635" t="s">
        <v>2</v>
      </c>
      <c r="O40" s="762"/>
      <c r="P40" s="762"/>
      <c r="BK40" s="772"/>
      <c r="BL40" s="787"/>
      <c r="BM40" s="772" t="s">
        <v>152</v>
      </c>
      <c r="BN40" s="772"/>
      <c r="BO40" s="772"/>
      <c r="BP40" s="794" t="s">
        <v>2</v>
      </c>
      <c r="BQ40" s="769" t="s">
        <v>66</v>
      </c>
      <c r="BR40" s="769" t="s">
        <v>40</v>
      </c>
      <c r="BS40" s="793">
        <f>'Resolución 137-2019-OS_CD'!AA302*Factores!$B$18</f>
        <v>13.606091000000001</v>
      </c>
    </row>
    <row r="41" spans="2:71" ht="12.75">
      <c r="B41" s="658"/>
      <c r="C41" s="658"/>
      <c r="D41" s="658"/>
      <c r="E41" s="658" t="s">
        <v>86</v>
      </c>
      <c r="F41" s="658" t="s">
        <v>304</v>
      </c>
      <c r="G41" s="639" t="s">
        <v>280</v>
      </c>
      <c r="H41" s="639" t="s">
        <v>285</v>
      </c>
      <c r="I41" s="639" t="s">
        <v>280</v>
      </c>
      <c r="J41" s="639" t="s">
        <v>285</v>
      </c>
      <c r="K41" s="639" t="s">
        <v>280</v>
      </c>
      <c r="L41" s="639" t="s">
        <v>285</v>
      </c>
      <c r="M41" s="639" t="s">
        <v>280</v>
      </c>
      <c r="N41" s="639" t="s">
        <v>285</v>
      </c>
      <c r="O41" s="762"/>
      <c r="P41" s="762"/>
      <c r="BK41" s="772"/>
      <c r="BL41" s="795" t="s">
        <v>177</v>
      </c>
      <c r="BM41" s="765" t="s">
        <v>71</v>
      </c>
      <c r="BN41" s="765" t="s">
        <v>18</v>
      </c>
      <c r="BO41" s="768" t="s">
        <v>187</v>
      </c>
      <c r="BP41" s="794" t="s">
        <v>54</v>
      </c>
      <c r="BQ41" s="769" t="s">
        <v>66</v>
      </c>
      <c r="BR41" s="769" t="s">
        <v>40</v>
      </c>
      <c r="BS41" s="793">
        <f>'Resolución 137-2019-OS_CD'!AA303*Factores!$B$18</f>
        <v>14.213838</v>
      </c>
    </row>
    <row r="42" spans="2:71" ht="12.75">
      <c r="B42" s="640" t="s">
        <v>11</v>
      </c>
      <c r="C42" s="640" t="s">
        <v>9</v>
      </c>
      <c r="D42" s="640" t="s">
        <v>10</v>
      </c>
      <c r="E42" s="641" t="s">
        <v>12</v>
      </c>
      <c r="F42" s="660" t="s">
        <v>87</v>
      </c>
      <c r="G42" s="848">
        <f>+'Resolución 137-2019-OS_CD'!G304*Factores!$B$17</f>
        <v>1.079583</v>
      </c>
      <c r="H42" s="848">
        <f>+'Resolución 137-2019-OS_CD'!H304*Factores!$B$17</f>
        <v>0.9679019999999999</v>
      </c>
      <c r="I42" s="848">
        <f>+'Resolución 137-2019-OS_CD'!I304*Factores!$B$17</f>
        <v>1.1416279999999999</v>
      </c>
      <c r="J42" s="848">
        <f>+'Resolución 137-2019-OS_CD'!J304*Factores!$B$17</f>
        <v>1.029947</v>
      </c>
      <c r="K42" s="848">
        <f>+'Resolución 137-2019-OS_CD'!K304*Factores!$B$17</f>
        <v>1.340172</v>
      </c>
      <c r="L42" s="848">
        <f>+'Resolución 137-2019-OS_CD'!L304*Factores!$B$17</f>
        <v>1.2284909999999998</v>
      </c>
      <c r="M42" s="848">
        <f>+'Resolución 137-2019-OS_CD'!M304*Factores!$B$17</f>
        <v>1.4022169999999998</v>
      </c>
      <c r="N42" s="848">
        <f>+'Resolución 137-2019-OS_CD'!N304*Factores!$B$17</f>
        <v>1.290536</v>
      </c>
      <c r="O42" s="762"/>
      <c r="P42" s="762"/>
      <c r="R42" s="759">
        <v>0.76</v>
      </c>
      <c r="S42" s="759">
        <v>0.72</v>
      </c>
      <c r="T42" s="759">
        <v>0.81</v>
      </c>
      <c r="U42" s="759">
        <v>0.77</v>
      </c>
      <c r="V42" s="759">
        <v>0.97</v>
      </c>
      <c r="W42" s="759">
        <v>0.93</v>
      </c>
      <c r="X42" s="759">
        <v>1.01</v>
      </c>
      <c r="Y42" s="759">
        <v>0.98</v>
      </c>
      <c r="AA42" s="759">
        <f>+IF(R42=G42,0,1)</f>
        <v>1</v>
      </c>
      <c r="AB42" s="759">
        <f aca="true" t="shared" si="11" ref="AB42:AG42">+IF(S42=H42,0,1)</f>
        <v>1</v>
      </c>
      <c r="AC42" s="759">
        <f t="shared" si="11"/>
        <v>1</v>
      </c>
      <c r="AD42" s="759">
        <f t="shared" si="11"/>
        <v>1</v>
      </c>
      <c r="AE42" s="759">
        <f t="shared" si="11"/>
        <v>1</v>
      </c>
      <c r="AF42" s="759">
        <f t="shared" si="11"/>
        <v>1</v>
      </c>
      <c r="AG42" s="759">
        <f t="shared" si="11"/>
        <v>1</v>
      </c>
      <c r="AH42" s="759">
        <f>+IF(Y42=N42,0,1)</f>
        <v>1</v>
      </c>
      <c r="BK42" s="776"/>
      <c r="BL42" s="796"/>
      <c r="BM42" s="776" t="s">
        <v>245</v>
      </c>
      <c r="BN42" s="776"/>
      <c r="BO42" s="776"/>
      <c r="BP42" s="794" t="s">
        <v>2</v>
      </c>
      <c r="BQ42" s="769" t="s">
        <v>66</v>
      </c>
      <c r="BR42" s="769" t="s">
        <v>40</v>
      </c>
      <c r="BS42" s="793">
        <f>'Resolución 137-2019-OS_CD'!AA304*Factores!$B$18</f>
        <v>14.226241</v>
      </c>
    </row>
    <row r="43" spans="2:34" ht="12.75">
      <c r="B43" s="775"/>
      <c r="C43" s="775"/>
      <c r="D43" s="797"/>
      <c r="E43" s="797"/>
      <c r="F43" s="660" t="s">
        <v>88</v>
      </c>
      <c r="G43" s="848">
        <f>+'Resolución 137-2019-OS_CD'!G305*Factores!$B$17</f>
        <v>1.079583</v>
      </c>
      <c r="H43" s="848">
        <f>+'Resolución 137-2019-OS_CD'!H305*Factores!$B$17</f>
        <v>0.9679019999999999</v>
      </c>
      <c r="I43" s="848">
        <f>+'Resolución 137-2019-OS_CD'!I305*Factores!$B$17</f>
        <v>1.1416279999999999</v>
      </c>
      <c r="J43" s="848">
        <f>+'Resolución 137-2019-OS_CD'!J305*Factores!$B$17</f>
        <v>1.029947</v>
      </c>
      <c r="K43" s="848">
        <f>+'Resolución 137-2019-OS_CD'!K305*Factores!$B$17</f>
        <v>1.340172</v>
      </c>
      <c r="L43" s="848">
        <f>+'Resolución 137-2019-OS_CD'!L305*Factores!$B$17</f>
        <v>1.2284909999999998</v>
      </c>
      <c r="M43" s="848">
        <f>+'Resolución 137-2019-OS_CD'!M305*Factores!$B$17</f>
        <v>1.4022169999999998</v>
      </c>
      <c r="N43" s="848">
        <f>+'Resolución 137-2019-OS_CD'!N305*Factores!$B$17</f>
        <v>1.290536</v>
      </c>
      <c r="O43" s="762"/>
      <c r="P43" s="762"/>
      <c r="R43" s="759">
        <v>0.76</v>
      </c>
      <c r="S43" s="759">
        <v>0.72</v>
      </c>
      <c r="T43" s="759">
        <v>0.81</v>
      </c>
      <c r="U43" s="759">
        <v>0.77</v>
      </c>
      <c r="V43" s="759">
        <v>0.97</v>
      </c>
      <c r="W43" s="759">
        <v>0.93</v>
      </c>
      <c r="X43" s="759">
        <v>1.01</v>
      </c>
      <c r="Y43" s="759">
        <v>0.98</v>
      </c>
      <c r="AA43" s="759">
        <f>+IF(R43=G43,0,1)</f>
        <v>1</v>
      </c>
      <c r="AB43" s="759">
        <f>+IF(S43=H43,0,1)</f>
        <v>1</v>
      </c>
      <c r="AC43" s="759">
        <f>+IF(T43=I43,0,1)</f>
        <v>1</v>
      </c>
      <c r="AD43" s="759">
        <f>+IF(U43=J43,0,1)</f>
        <v>1</v>
      </c>
      <c r="AE43" s="759">
        <f>+IF(V43=K43,0,1)</f>
        <v>1</v>
      </c>
      <c r="AF43" s="759">
        <f>+IF(W43=L43,0,1)</f>
        <v>1</v>
      </c>
      <c r="AG43" s="759">
        <f>+IF(X43=M43,0,1)</f>
        <v>1</v>
      </c>
      <c r="AH43" s="759">
        <f>+IF(Y43=N43,0,1)</f>
        <v>1</v>
      </c>
    </row>
    <row r="44" spans="2:34" ht="12.75">
      <c r="B44" s="643"/>
      <c r="C44" s="643"/>
      <c r="D44" s="640" t="s">
        <v>14</v>
      </c>
      <c r="E44" s="641" t="s">
        <v>15</v>
      </c>
      <c r="F44" s="660" t="s">
        <v>87</v>
      </c>
      <c r="G44" s="848">
        <f>+'Resolución 137-2019-OS_CD'!G306*Factores!$B$17</f>
        <v>1.079583</v>
      </c>
      <c r="H44" s="848">
        <f>+'Resolución 137-2019-OS_CD'!H306*Factores!$B$17</f>
        <v>0.9679019999999999</v>
      </c>
      <c r="I44" s="848">
        <f>+'Resolución 137-2019-OS_CD'!I306*Factores!$B$17</f>
        <v>1.1416279999999999</v>
      </c>
      <c r="J44" s="848">
        <f>+'Resolución 137-2019-OS_CD'!J306*Factores!$B$17</f>
        <v>1.029947</v>
      </c>
      <c r="K44" s="848">
        <f>+'Resolución 137-2019-OS_CD'!K306*Factores!$B$17</f>
        <v>1.340172</v>
      </c>
      <c r="L44" s="848">
        <f>+'Resolución 137-2019-OS_CD'!L306*Factores!$B$17</f>
        <v>1.2284909999999998</v>
      </c>
      <c r="M44" s="848">
        <f>+'Resolución 137-2019-OS_CD'!M306*Factores!$B$17</f>
        <v>1.4022169999999998</v>
      </c>
      <c r="N44" s="848">
        <f>+'Resolución 137-2019-OS_CD'!N306*Factores!$B$17</f>
        <v>1.290536</v>
      </c>
      <c r="O44" s="762"/>
      <c r="P44" s="762"/>
      <c r="R44" s="759">
        <v>0.76</v>
      </c>
      <c r="S44" s="759">
        <v>0.72</v>
      </c>
      <c r="T44" s="759">
        <v>0.81</v>
      </c>
      <c r="U44" s="759">
        <v>0.77</v>
      </c>
      <c r="V44" s="759">
        <v>0.97</v>
      </c>
      <c r="W44" s="759">
        <v>0.93</v>
      </c>
      <c r="X44" s="759">
        <v>1.01</v>
      </c>
      <c r="Y44" s="759">
        <v>0.98</v>
      </c>
      <c r="AA44" s="759">
        <f>+IF(R44=G44,0,1)</f>
        <v>1</v>
      </c>
      <c r="AB44" s="759">
        <f>+IF(S44=H44,0,1)</f>
        <v>1</v>
      </c>
      <c r="AC44" s="759">
        <f>+IF(T44=I44,0,1)</f>
        <v>1</v>
      </c>
      <c r="AD44" s="759">
        <f>+IF(U44=J44,0,1)</f>
        <v>1</v>
      </c>
      <c r="AE44" s="759">
        <f>+IF(V44=K44,0,1)</f>
        <v>1</v>
      </c>
      <c r="AF44" s="759">
        <f>+IF(W44=L44,0,1)</f>
        <v>1</v>
      </c>
      <c r="AG44" s="759">
        <f>+IF(X44=M44,0,1)</f>
        <v>1</v>
      </c>
      <c r="AH44" s="759">
        <f>+IF(Y44=N44,0,1)</f>
        <v>1</v>
      </c>
    </row>
    <row r="45" spans="2:34" ht="12.75">
      <c r="B45" s="797"/>
      <c r="C45" s="797"/>
      <c r="D45" s="797"/>
      <c r="E45" s="662"/>
      <c r="F45" s="660" t="s">
        <v>88</v>
      </c>
      <c r="G45" s="848">
        <f>+'Resolución 137-2019-OS_CD'!G307*Factores!$B$17</f>
        <v>1.079583</v>
      </c>
      <c r="H45" s="848">
        <f>+'Resolución 137-2019-OS_CD'!H307*Factores!$B$17</f>
        <v>0.9679019999999999</v>
      </c>
      <c r="I45" s="848">
        <f>+'Resolución 137-2019-OS_CD'!I307*Factores!$B$17</f>
        <v>1.1416279999999999</v>
      </c>
      <c r="J45" s="848">
        <f>+'Resolución 137-2019-OS_CD'!J307*Factores!$B$17</f>
        <v>1.029947</v>
      </c>
      <c r="K45" s="848">
        <f>+'Resolución 137-2019-OS_CD'!K307*Factores!$B$17</f>
        <v>1.340172</v>
      </c>
      <c r="L45" s="848">
        <f>+'Resolución 137-2019-OS_CD'!L307*Factores!$B$17</f>
        <v>1.2284909999999998</v>
      </c>
      <c r="M45" s="848">
        <f>+'Resolución 137-2019-OS_CD'!M307*Factores!$B$17</f>
        <v>1.4022169999999998</v>
      </c>
      <c r="N45" s="848">
        <f>+'Resolución 137-2019-OS_CD'!N307*Factores!$B$17</f>
        <v>1.290536</v>
      </c>
      <c r="O45" s="762"/>
      <c r="P45" s="762"/>
      <c r="R45" s="759">
        <v>0.76</v>
      </c>
      <c r="S45" s="759">
        <v>0.72</v>
      </c>
      <c r="T45" s="759">
        <v>0.81</v>
      </c>
      <c r="U45" s="759">
        <v>0.77</v>
      </c>
      <c r="V45" s="759">
        <v>0.97</v>
      </c>
      <c r="W45" s="759">
        <v>0.93</v>
      </c>
      <c r="X45" s="759">
        <v>1.01</v>
      </c>
      <c r="Y45" s="759">
        <v>0.98</v>
      </c>
      <c r="AA45" s="759">
        <f>+IF(R45=G45,0,1)</f>
        <v>1</v>
      </c>
      <c r="AB45" s="759">
        <f>+IF(S45=H45,0,1)</f>
        <v>1</v>
      </c>
      <c r="AC45" s="759">
        <f>+IF(T45=I45,0,1)</f>
        <v>1</v>
      </c>
      <c r="AD45" s="759">
        <f>+IF(U45=J45,0,1)</f>
        <v>1</v>
      </c>
      <c r="AE45" s="759">
        <f>+IF(V45=K45,0,1)</f>
        <v>1</v>
      </c>
      <c r="AF45" s="759">
        <f>+IF(W45=L45,0,1)</f>
        <v>1</v>
      </c>
      <c r="AG45" s="759">
        <f>+IF(X45=M45,0,1)</f>
        <v>1</v>
      </c>
      <c r="AH45" s="759">
        <f>+IF(Y45=N45,0,1)</f>
        <v>1</v>
      </c>
    </row>
    <row r="46" spans="2:34" ht="12.75">
      <c r="B46" s="640" t="s">
        <v>18</v>
      </c>
      <c r="C46" s="640" t="s">
        <v>16</v>
      </c>
      <c r="D46" s="663" t="s">
        <v>17</v>
      </c>
      <c r="E46" s="664" t="s">
        <v>19</v>
      </c>
      <c r="F46" s="663" t="s">
        <v>60</v>
      </c>
      <c r="G46" s="848">
        <f>+'Resolución 137-2019-OS_CD'!G308*Factores!$B$17</f>
        <v>1.290536</v>
      </c>
      <c r="H46" s="848">
        <f>+'Resolución 137-2019-OS_CD'!H308*Factores!$B$17</f>
        <v>1.2284909999999998</v>
      </c>
      <c r="I46" s="848">
        <f>+'Resolución 137-2019-OS_CD'!I308*Factores!$B$17</f>
        <v>1.290536</v>
      </c>
      <c r="J46" s="848">
        <f>+'Resolución 137-2019-OS_CD'!J308*Factores!$B$17</f>
        <v>1.2284909999999998</v>
      </c>
      <c r="K46" s="848">
        <f>+'Resolución 137-2019-OS_CD'!K308*Factores!$B$17</f>
        <v>1.4394439999999997</v>
      </c>
      <c r="L46" s="848">
        <f>+'Resolución 137-2019-OS_CD'!L308*Factores!$B$17</f>
        <v>1.36499</v>
      </c>
      <c r="M46" s="848">
        <f>+'Resolución 137-2019-OS_CD'!M308*Factores!$B$17</f>
        <v>1.4394439999999997</v>
      </c>
      <c r="N46" s="848">
        <f>+'Resolución 137-2019-OS_CD'!N308*Factores!$B$17</f>
        <v>1.36499</v>
      </c>
      <c r="O46" s="762"/>
      <c r="P46" s="762"/>
      <c r="R46" s="759">
        <v>0.98</v>
      </c>
      <c r="S46" s="759">
        <v>0.95</v>
      </c>
      <c r="T46" s="759">
        <v>0.98</v>
      </c>
      <c r="U46" s="759">
        <v>0.95</v>
      </c>
      <c r="V46" s="759">
        <v>1.1</v>
      </c>
      <c r="W46" s="759">
        <v>1.06</v>
      </c>
      <c r="X46" s="759">
        <v>1.1</v>
      </c>
      <c r="Y46" s="759">
        <v>1.06</v>
      </c>
      <c r="AA46" s="759">
        <f>+IF(R46=G46,0,1)</f>
        <v>1</v>
      </c>
      <c r="AB46" s="759">
        <f>+IF(S46=H46,0,1)</f>
        <v>1</v>
      </c>
      <c r="AC46" s="759">
        <f>+IF(T46=I46,0,1)</f>
        <v>1</v>
      </c>
      <c r="AD46" s="759">
        <f>+IF(U46=J46,0,1)</f>
        <v>1</v>
      </c>
      <c r="AE46" s="759">
        <f>+IF(V46=K46,0,1)</f>
        <v>1</v>
      </c>
      <c r="AF46" s="759">
        <f>+IF(W46=L46,0,1)</f>
        <v>1</v>
      </c>
      <c r="AG46" s="759">
        <f>+IF(X46=M46,0,1)</f>
        <v>1</v>
      </c>
      <c r="AH46" s="759">
        <f>+IF(Y46=N46,0,1)</f>
        <v>1</v>
      </c>
    </row>
    <row r="47" spans="2:35" ht="12.75">
      <c r="B47" s="647"/>
      <c r="C47" s="647"/>
      <c r="D47" s="663" t="s">
        <v>21</v>
      </c>
      <c r="E47" s="666" t="s">
        <v>22</v>
      </c>
      <c r="F47" s="663" t="s">
        <v>60</v>
      </c>
      <c r="G47" s="848">
        <f>+'Resolución 137-2019-OS_CD'!G309*Factores!$B$17</f>
        <v>1.290536</v>
      </c>
      <c r="H47" s="848">
        <f>+'Resolución 137-2019-OS_CD'!H309*Factores!$B$17</f>
        <v>1.2284909999999998</v>
      </c>
      <c r="I47" s="848">
        <f>+'Resolución 137-2019-OS_CD'!I309*Factores!$B$17</f>
        <v>1.290536</v>
      </c>
      <c r="J47" s="848">
        <f>+'Resolución 137-2019-OS_CD'!J309*Factores!$B$17</f>
        <v>1.2284909999999998</v>
      </c>
      <c r="K47" s="848">
        <f>+'Resolución 137-2019-OS_CD'!K309*Factores!$B$17</f>
        <v>1.4394439999999997</v>
      </c>
      <c r="L47" s="848">
        <f>+'Resolución 137-2019-OS_CD'!L309*Factores!$B$17</f>
        <v>1.36499</v>
      </c>
      <c r="M47" s="848">
        <f>+'Resolución 137-2019-OS_CD'!M309*Factores!$B$17</f>
        <v>1.4394439999999997</v>
      </c>
      <c r="N47" s="848">
        <f>+'Resolución 137-2019-OS_CD'!N309*Factores!$B$17</f>
        <v>1.36499</v>
      </c>
      <c r="O47" s="762"/>
      <c r="P47" s="762"/>
      <c r="R47" s="759">
        <v>0.98</v>
      </c>
      <c r="S47" s="759">
        <v>0.95</v>
      </c>
      <c r="T47" s="759">
        <v>0.98</v>
      </c>
      <c r="U47" s="759">
        <v>0.95</v>
      </c>
      <c r="V47" s="759">
        <v>1.1</v>
      </c>
      <c r="W47" s="759">
        <v>1.06</v>
      </c>
      <c r="X47" s="759">
        <v>1.1</v>
      </c>
      <c r="Y47" s="759">
        <v>1.06</v>
      </c>
      <c r="AA47" s="759">
        <f>+IF(R47=G47,0,1)</f>
        <v>1</v>
      </c>
      <c r="AB47" s="759">
        <f>+IF(S47=H47,0,1)</f>
        <v>1</v>
      </c>
      <c r="AC47" s="759">
        <f>+IF(T47=I47,0,1)</f>
        <v>1</v>
      </c>
      <c r="AD47" s="759">
        <f>+IF(U47=J47,0,1)</f>
        <v>1</v>
      </c>
      <c r="AE47" s="759">
        <f>+IF(V47=K47,0,1)</f>
        <v>1</v>
      </c>
      <c r="AF47" s="759">
        <f>+IF(W47=L47,0,1)</f>
        <v>1</v>
      </c>
      <c r="AG47" s="759">
        <f>+IF(X47=M47,0,1)</f>
        <v>1</v>
      </c>
      <c r="AH47" s="759">
        <f>+IF(Y47=N47,0,1)</f>
        <v>1</v>
      </c>
      <c r="AI47" s="781">
        <f>+SUM(AA42:AH47)</f>
        <v>48</v>
      </c>
    </row>
    <row r="48" spans="2:16" ht="12.75">
      <c r="B48" s="762" t="s">
        <v>281</v>
      </c>
      <c r="C48" s="762"/>
      <c r="D48" s="762"/>
      <c r="E48" s="762"/>
      <c r="F48" s="762"/>
      <c r="G48" s="762"/>
      <c r="H48" s="633"/>
      <c r="I48" s="762"/>
      <c r="J48" s="762"/>
      <c r="K48" s="762"/>
      <c r="L48" s="762"/>
      <c r="M48" s="762"/>
      <c r="N48" s="762"/>
      <c r="O48" s="762"/>
      <c r="P48" s="762"/>
    </row>
    <row r="49" spans="2:16" ht="12.75">
      <c r="B49" s="762" t="s">
        <v>284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</row>
    <row r="50" spans="2:16" ht="12.75">
      <c r="B50" s="762"/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</row>
    <row r="51" spans="2:16" ht="12.75">
      <c r="B51" s="762"/>
      <c r="C51" s="762"/>
      <c r="D51" s="762"/>
      <c r="E51" s="762"/>
      <c r="F51" s="762"/>
      <c r="G51" s="762"/>
      <c r="H51" s="762"/>
      <c r="I51" s="762"/>
      <c r="J51" s="762"/>
      <c r="K51" s="762"/>
      <c r="L51" s="762"/>
      <c r="M51" s="762"/>
      <c r="N51" s="762"/>
      <c r="O51" s="762"/>
      <c r="P51" s="762"/>
    </row>
    <row r="52" spans="2:16" ht="12.75"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</row>
    <row r="53" spans="2:16" ht="12.75"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</row>
    <row r="54" spans="2:16" ht="15.75">
      <c r="B54" s="632" t="s">
        <v>312</v>
      </c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</row>
    <row r="55" spans="2:16" ht="12.75">
      <c r="B55" s="762"/>
      <c r="C55" s="762"/>
      <c r="D55" s="633"/>
      <c r="E55" s="633"/>
      <c r="F55" s="633"/>
      <c r="G55" s="633"/>
      <c r="H55" s="633"/>
      <c r="I55" s="978" t="s">
        <v>307</v>
      </c>
      <c r="J55" s="979"/>
      <c r="K55" s="978" t="s">
        <v>308</v>
      </c>
      <c r="L55" s="979"/>
      <c r="M55" s="978" t="s">
        <v>309</v>
      </c>
      <c r="N55" s="979"/>
      <c r="O55" s="978" t="s">
        <v>310</v>
      </c>
      <c r="P55" s="979"/>
    </row>
    <row r="56" spans="2:16" ht="12.75">
      <c r="B56" s="635" t="s">
        <v>6</v>
      </c>
      <c r="C56" s="636" t="s">
        <v>3</v>
      </c>
      <c r="D56" s="635" t="s">
        <v>4</v>
      </c>
      <c r="E56" s="635" t="s">
        <v>7</v>
      </c>
      <c r="F56" s="635" t="s">
        <v>49</v>
      </c>
      <c r="G56" s="635" t="s">
        <v>1</v>
      </c>
      <c r="H56" s="635" t="s">
        <v>2</v>
      </c>
      <c r="I56" s="635" t="s">
        <v>1</v>
      </c>
      <c r="J56" s="635" t="s">
        <v>2</v>
      </c>
      <c r="K56" s="635" t="s">
        <v>1</v>
      </c>
      <c r="L56" s="635" t="s">
        <v>2</v>
      </c>
      <c r="M56" s="635" t="s">
        <v>1</v>
      </c>
      <c r="N56" s="635" t="s">
        <v>2</v>
      </c>
      <c r="O56" s="635" t="s">
        <v>1</v>
      </c>
      <c r="P56" s="635" t="s">
        <v>2</v>
      </c>
    </row>
    <row r="57" spans="2:16" ht="12.75">
      <c r="B57" s="637"/>
      <c r="C57" s="638"/>
      <c r="D57" s="637"/>
      <c r="E57" s="637" t="s">
        <v>86</v>
      </c>
      <c r="F57" s="637" t="s">
        <v>304</v>
      </c>
      <c r="G57" s="639" t="s">
        <v>280</v>
      </c>
      <c r="H57" s="637" t="s">
        <v>285</v>
      </c>
      <c r="I57" s="639" t="s">
        <v>280</v>
      </c>
      <c r="J57" s="639" t="s">
        <v>274</v>
      </c>
      <c r="K57" s="639" t="s">
        <v>280</v>
      </c>
      <c r="L57" s="639" t="s">
        <v>274</v>
      </c>
      <c r="M57" s="639" t="s">
        <v>280</v>
      </c>
      <c r="N57" s="639" t="s">
        <v>274</v>
      </c>
      <c r="O57" s="639" t="s">
        <v>280</v>
      </c>
      <c r="P57" s="639" t="s">
        <v>274</v>
      </c>
    </row>
    <row r="58" spans="2:38" ht="12.75">
      <c r="B58" s="640" t="s">
        <v>18</v>
      </c>
      <c r="C58" s="650" t="s">
        <v>16</v>
      </c>
      <c r="D58" s="640" t="s">
        <v>17</v>
      </c>
      <c r="E58" s="641" t="s">
        <v>19</v>
      </c>
      <c r="F58" s="642" t="s">
        <v>63</v>
      </c>
      <c r="G58" s="849">
        <f>'Resolución 137-2019-OS_CD'!G317*Factores!$B$17</f>
        <v>2.705162</v>
      </c>
      <c r="H58" s="849">
        <f>'Resolución 137-2019-OS_CD'!H317*Factores!$B$17</f>
        <v>2.630708</v>
      </c>
      <c r="I58" s="850"/>
      <c r="J58" s="850"/>
      <c r="K58" s="850"/>
      <c r="L58" s="850"/>
      <c r="M58" s="850"/>
      <c r="N58" s="850"/>
      <c r="O58" s="850"/>
      <c r="P58" s="850"/>
      <c r="R58" s="759">
        <v>1.96</v>
      </c>
      <c r="S58" s="759">
        <v>1.92</v>
      </c>
      <c r="AC58" s="759">
        <f>+IF(R58=G58,0,1)</f>
        <v>1</v>
      </c>
      <c r="AD58" s="759">
        <f aca="true" t="shared" si="12" ref="AD58:AL58">+IF(S58=H58,0,1)</f>
        <v>1</v>
      </c>
      <c r="AE58" s="759">
        <f t="shared" si="12"/>
        <v>0</v>
      </c>
      <c r="AF58" s="759">
        <f t="shared" si="12"/>
        <v>0</v>
      </c>
      <c r="AG58" s="759">
        <f t="shared" si="12"/>
        <v>0</v>
      </c>
      <c r="AH58" s="759">
        <f t="shared" si="12"/>
        <v>0</v>
      </c>
      <c r="AI58" s="759">
        <f t="shared" si="12"/>
        <v>0</v>
      </c>
      <c r="AJ58" s="759">
        <f t="shared" si="12"/>
        <v>0</v>
      </c>
      <c r="AK58" s="759">
        <f t="shared" si="12"/>
        <v>0</v>
      </c>
      <c r="AL58" s="759">
        <f t="shared" si="12"/>
        <v>0</v>
      </c>
    </row>
    <row r="59" spans="2:38" ht="12.75">
      <c r="B59" s="643"/>
      <c r="C59" s="644"/>
      <c r="D59" s="643"/>
      <c r="E59" s="645"/>
      <c r="F59" s="642" t="s">
        <v>60</v>
      </c>
      <c r="G59" s="849"/>
      <c r="H59" s="849"/>
      <c r="I59" s="849">
        <f>'Resolución 137-2019-OS_CD'!I318*Factores!$B$17</f>
        <v>1.290536</v>
      </c>
      <c r="J59" s="849">
        <f>'Resolución 137-2019-OS_CD'!J318*Factores!$B$17</f>
        <v>1.2284909999999998</v>
      </c>
      <c r="K59" s="849">
        <f>'Resolución 137-2019-OS_CD'!K318*Factores!$B$17</f>
        <v>1.290536</v>
      </c>
      <c r="L59" s="849">
        <f>'Resolución 137-2019-OS_CD'!L318*Factores!$B$17</f>
        <v>1.2284909999999998</v>
      </c>
      <c r="M59" s="849">
        <f>'Resolución 137-2019-OS_CD'!M318*Factores!$B$17</f>
        <v>1.4394439999999997</v>
      </c>
      <c r="N59" s="849">
        <f>'Resolución 137-2019-OS_CD'!N318*Factores!$B$17</f>
        <v>1.36499</v>
      </c>
      <c r="O59" s="849">
        <f>'Resolución 137-2019-OS_CD'!O318*Factores!$B$17</f>
        <v>1.4394439999999997</v>
      </c>
      <c r="P59" s="849">
        <f>'Resolución 137-2019-OS_CD'!P318*Factores!$B$17</f>
        <v>1.36499</v>
      </c>
      <c r="T59" s="759">
        <v>0.98</v>
      </c>
      <c r="U59" s="759">
        <v>0.95</v>
      </c>
      <c r="V59" s="759">
        <v>0.98</v>
      </c>
      <c r="W59" s="759">
        <v>0.95</v>
      </c>
      <c r="X59" s="759">
        <v>1.1</v>
      </c>
      <c r="Y59" s="759">
        <v>1.06</v>
      </c>
      <c r="Z59" s="759">
        <v>1.1</v>
      </c>
      <c r="AA59" s="759">
        <v>1.06</v>
      </c>
      <c r="AC59" s="759">
        <f aca="true" t="shared" si="13" ref="AC59:AC70">+IF(R59=G59,0,1)</f>
        <v>0</v>
      </c>
      <c r="AD59" s="759">
        <f aca="true" t="shared" si="14" ref="AD59:AD70">+IF(S59=H59,0,1)</f>
        <v>0</v>
      </c>
      <c r="AE59" s="759">
        <f aca="true" t="shared" si="15" ref="AE59:AE70">+IF(T59=I59,0,1)</f>
        <v>1</v>
      </c>
      <c r="AF59" s="759">
        <f aca="true" t="shared" si="16" ref="AF59:AF70">+IF(U59=J59,0,1)</f>
        <v>1</v>
      </c>
      <c r="AG59" s="759">
        <f aca="true" t="shared" si="17" ref="AG59:AG70">+IF(V59=K59,0,1)</f>
        <v>1</v>
      </c>
      <c r="AH59" s="759">
        <f aca="true" t="shared" si="18" ref="AH59:AH70">+IF(W59=L59,0,1)</f>
        <v>1</v>
      </c>
      <c r="AI59" s="759">
        <f aca="true" t="shared" si="19" ref="AI59:AI70">+IF(X59=M59,0,1)</f>
        <v>1</v>
      </c>
      <c r="AJ59" s="759">
        <f aca="true" t="shared" si="20" ref="AJ59:AJ70">+IF(Y59=N59,0,1)</f>
        <v>1</v>
      </c>
      <c r="AK59" s="759">
        <f aca="true" t="shared" si="21" ref="AK59:AK70">+IF(Z59=O59,0,1)</f>
        <v>1</v>
      </c>
      <c r="AL59" s="759">
        <f aca="true" t="shared" si="22" ref="AL59:AL70">+IF(AA59=P59,0,1)</f>
        <v>1</v>
      </c>
    </row>
    <row r="60" spans="2:38" ht="12.75">
      <c r="B60" s="643"/>
      <c r="C60" s="644"/>
      <c r="D60" s="643"/>
      <c r="E60" s="645"/>
      <c r="F60" s="642" t="s">
        <v>56</v>
      </c>
      <c r="G60" s="849">
        <f>'Resolución 137-2019-OS_CD'!G319*Factores!$B$17</f>
        <v>0.670086</v>
      </c>
      <c r="H60" s="849">
        <f>'Resolución 137-2019-OS_CD'!H319*Factores!$B$17</f>
        <v>0.5956319999999999</v>
      </c>
      <c r="I60" s="850"/>
      <c r="J60" s="850"/>
      <c r="K60" s="850"/>
      <c r="L60" s="850"/>
      <c r="M60" s="850"/>
      <c r="N60" s="850"/>
      <c r="O60" s="850"/>
      <c r="P60" s="850"/>
      <c r="R60" s="759">
        <v>0.51</v>
      </c>
      <c r="S60" s="759">
        <v>0.46</v>
      </c>
      <c r="AC60" s="759">
        <f t="shared" si="13"/>
        <v>1</v>
      </c>
      <c r="AD60" s="759">
        <f t="shared" si="14"/>
        <v>1</v>
      </c>
      <c r="AE60" s="759">
        <f t="shared" si="15"/>
        <v>0</v>
      </c>
      <c r="AF60" s="759">
        <f t="shared" si="16"/>
        <v>0</v>
      </c>
      <c r="AG60" s="759">
        <f t="shared" si="17"/>
        <v>0</v>
      </c>
      <c r="AH60" s="759">
        <f t="shared" si="18"/>
        <v>0</v>
      </c>
      <c r="AI60" s="759">
        <f t="shared" si="19"/>
        <v>0</v>
      </c>
      <c r="AJ60" s="759">
        <f t="shared" si="20"/>
        <v>0</v>
      </c>
      <c r="AK60" s="759">
        <f t="shared" si="21"/>
        <v>0</v>
      </c>
      <c r="AL60" s="759">
        <f t="shared" si="22"/>
        <v>0</v>
      </c>
    </row>
    <row r="61" spans="2:38" ht="12.75">
      <c r="B61" s="643"/>
      <c r="C61" s="644"/>
      <c r="D61" s="643"/>
      <c r="E61" s="645"/>
      <c r="F61" s="642" t="s">
        <v>272</v>
      </c>
      <c r="G61" s="849">
        <f>'Resolución 137-2019-OS_CD'!G320*Factores!$B$17</f>
        <v>3.1146589999999996</v>
      </c>
      <c r="H61" s="849">
        <f>'Resolución 137-2019-OS_CD'!H320*Factores!$B$17</f>
        <v>3.0526139999999997</v>
      </c>
      <c r="I61" s="850"/>
      <c r="J61" s="850"/>
      <c r="K61" s="850"/>
      <c r="L61" s="850"/>
      <c r="M61" s="850"/>
      <c r="N61" s="850"/>
      <c r="O61" s="850"/>
      <c r="P61" s="850"/>
      <c r="R61" s="759">
        <v>2.24</v>
      </c>
      <c r="S61" s="759">
        <v>2.18</v>
      </c>
      <c r="AC61" s="759">
        <f t="shared" si="13"/>
        <v>1</v>
      </c>
      <c r="AD61" s="759">
        <f t="shared" si="14"/>
        <v>1</v>
      </c>
      <c r="AE61" s="759">
        <f t="shared" si="15"/>
        <v>0</v>
      </c>
      <c r="AF61" s="759">
        <f t="shared" si="16"/>
        <v>0</v>
      </c>
      <c r="AG61" s="759">
        <f t="shared" si="17"/>
        <v>0</v>
      </c>
      <c r="AH61" s="759">
        <f t="shared" si="18"/>
        <v>0</v>
      </c>
      <c r="AI61" s="759">
        <f t="shared" si="19"/>
        <v>0</v>
      </c>
      <c r="AJ61" s="759">
        <f t="shared" si="20"/>
        <v>0</v>
      </c>
      <c r="AK61" s="759">
        <f t="shared" si="21"/>
        <v>0</v>
      </c>
      <c r="AL61" s="759">
        <f t="shared" si="22"/>
        <v>0</v>
      </c>
    </row>
    <row r="62" spans="2:38" ht="12.75">
      <c r="B62" s="643"/>
      <c r="C62" s="644"/>
      <c r="D62" s="777" t="s">
        <v>21</v>
      </c>
      <c r="E62" s="740" t="s">
        <v>22</v>
      </c>
      <c r="F62" s="642" t="s">
        <v>63</v>
      </c>
      <c r="G62" s="849">
        <f>'Resolución 137-2019-OS_CD'!G321*Factores!$B$17</f>
        <v>2.705162</v>
      </c>
      <c r="H62" s="849">
        <f>'Resolución 137-2019-OS_CD'!H321*Factores!$B$17</f>
        <v>2.630708</v>
      </c>
      <c r="I62" s="850"/>
      <c r="J62" s="850"/>
      <c r="K62" s="850"/>
      <c r="L62" s="850"/>
      <c r="M62" s="850"/>
      <c r="N62" s="850"/>
      <c r="O62" s="850"/>
      <c r="P62" s="850"/>
      <c r="R62" s="759">
        <v>1.96</v>
      </c>
      <c r="S62" s="759">
        <v>1.92</v>
      </c>
      <c r="AC62" s="759">
        <f t="shared" si="13"/>
        <v>1</v>
      </c>
      <c r="AD62" s="759">
        <f t="shared" si="14"/>
        <v>1</v>
      </c>
      <c r="AE62" s="759">
        <f t="shared" si="15"/>
        <v>0</v>
      </c>
      <c r="AF62" s="759">
        <f t="shared" si="16"/>
        <v>0</v>
      </c>
      <c r="AG62" s="759">
        <f t="shared" si="17"/>
        <v>0</v>
      </c>
      <c r="AH62" s="759">
        <f t="shared" si="18"/>
        <v>0</v>
      </c>
      <c r="AI62" s="759">
        <f t="shared" si="19"/>
        <v>0</v>
      </c>
      <c r="AJ62" s="759">
        <f t="shared" si="20"/>
        <v>0</v>
      </c>
      <c r="AK62" s="759">
        <f t="shared" si="21"/>
        <v>0</v>
      </c>
      <c r="AL62" s="759">
        <f t="shared" si="22"/>
        <v>0</v>
      </c>
    </row>
    <row r="63" spans="2:38" ht="12.75">
      <c r="B63" s="643"/>
      <c r="C63" s="644"/>
      <c r="D63" s="643"/>
      <c r="E63" s="645"/>
      <c r="F63" s="642" t="s">
        <v>60</v>
      </c>
      <c r="G63" s="849"/>
      <c r="H63" s="849"/>
      <c r="I63" s="849">
        <f>'Resolución 137-2019-OS_CD'!I322*Factores!$B$17</f>
        <v>1.290536</v>
      </c>
      <c r="J63" s="849">
        <f>'Resolución 137-2019-OS_CD'!J322*Factores!$B$17</f>
        <v>1.2284909999999998</v>
      </c>
      <c r="K63" s="849">
        <f>'Resolución 137-2019-OS_CD'!K322*Factores!$B$17</f>
        <v>1.290536</v>
      </c>
      <c r="L63" s="849">
        <f>'Resolución 137-2019-OS_CD'!L322*Factores!$B$17</f>
        <v>1.2284909999999998</v>
      </c>
      <c r="M63" s="849">
        <f>'Resolución 137-2019-OS_CD'!M322*Factores!$B$17</f>
        <v>1.4394439999999997</v>
      </c>
      <c r="N63" s="849">
        <f>'Resolución 137-2019-OS_CD'!N322*Factores!$B$17</f>
        <v>1.36499</v>
      </c>
      <c r="O63" s="849">
        <f>'Resolución 137-2019-OS_CD'!O322*Factores!$B$17</f>
        <v>1.4394439999999997</v>
      </c>
      <c r="P63" s="849">
        <f>'Resolución 137-2019-OS_CD'!P322*Factores!$B$17</f>
        <v>1.36499</v>
      </c>
      <c r="T63" s="759">
        <v>0.98</v>
      </c>
      <c r="U63" s="759">
        <v>0.95</v>
      </c>
      <c r="V63" s="759">
        <v>0.98</v>
      </c>
      <c r="W63" s="759">
        <v>0.95</v>
      </c>
      <c r="X63" s="759">
        <v>1.1</v>
      </c>
      <c r="Y63" s="759">
        <v>1.06</v>
      </c>
      <c r="Z63" s="759">
        <v>1.1</v>
      </c>
      <c r="AA63" s="759">
        <v>1.06</v>
      </c>
      <c r="AC63" s="759">
        <f t="shared" si="13"/>
        <v>0</v>
      </c>
      <c r="AD63" s="759">
        <f t="shared" si="14"/>
        <v>0</v>
      </c>
      <c r="AE63" s="759">
        <f t="shared" si="15"/>
        <v>1</v>
      </c>
      <c r="AF63" s="759">
        <f t="shared" si="16"/>
        <v>1</v>
      </c>
      <c r="AG63" s="759">
        <f t="shared" si="17"/>
        <v>1</v>
      </c>
      <c r="AH63" s="759">
        <f t="shared" si="18"/>
        <v>1</v>
      </c>
      <c r="AI63" s="759">
        <f t="shared" si="19"/>
        <v>1</v>
      </c>
      <c r="AJ63" s="759">
        <f t="shared" si="20"/>
        <v>1</v>
      </c>
      <c r="AK63" s="759">
        <f t="shared" si="21"/>
        <v>1</v>
      </c>
      <c r="AL63" s="759">
        <f t="shared" si="22"/>
        <v>1</v>
      </c>
    </row>
    <row r="64" spans="2:38" ht="12.75">
      <c r="B64" s="643"/>
      <c r="C64" s="644"/>
      <c r="D64" s="643"/>
      <c r="E64" s="645"/>
      <c r="F64" s="642" t="s">
        <v>56</v>
      </c>
      <c r="G64" s="849">
        <f>'Resolución 137-2019-OS_CD'!G323*Factores!$B$17</f>
        <v>0.670086</v>
      </c>
      <c r="H64" s="849">
        <f>'Resolución 137-2019-OS_CD'!H323*Factores!$B$17</f>
        <v>0.5956319999999999</v>
      </c>
      <c r="I64" s="850"/>
      <c r="J64" s="850"/>
      <c r="K64" s="850"/>
      <c r="L64" s="850"/>
      <c r="M64" s="850"/>
      <c r="N64" s="850"/>
      <c r="O64" s="850"/>
      <c r="P64" s="850"/>
      <c r="R64" s="759">
        <v>0.51</v>
      </c>
      <c r="S64" s="759">
        <v>0.46</v>
      </c>
      <c r="AC64" s="759">
        <f t="shared" si="13"/>
        <v>1</v>
      </c>
      <c r="AD64" s="759">
        <f t="shared" si="14"/>
        <v>1</v>
      </c>
      <c r="AE64" s="759">
        <f t="shared" si="15"/>
        <v>0</v>
      </c>
      <c r="AF64" s="759">
        <f t="shared" si="16"/>
        <v>0</v>
      </c>
      <c r="AG64" s="759">
        <f t="shared" si="17"/>
        <v>0</v>
      </c>
      <c r="AH64" s="759">
        <f t="shared" si="18"/>
        <v>0</v>
      </c>
      <c r="AI64" s="759">
        <f t="shared" si="19"/>
        <v>0</v>
      </c>
      <c r="AJ64" s="759">
        <f t="shared" si="20"/>
        <v>0</v>
      </c>
      <c r="AK64" s="759">
        <f t="shared" si="21"/>
        <v>0</v>
      </c>
      <c r="AL64" s="759">
        <f t="shared" si="22"/>
        <v>0</v>
      </c>
    </row>
    <row r="65" spans="2:38" ht="12.75">
      <c r="B65" s="643"/>
      <c r="C65" s="644"/>
      <c r="D65" s="643"/>
      <c r="E65" s="645"/>
      <c r="F65" s="642" t="s">
        <v>272</v>
      </c>
      <c r="G65" s="849">
        <f>'Resolución 137-2019-OS_CD'!G324*Factores!$B$17</f>
        <v>3.1146589999999996</v>
      </c>
      <c r="H65" s="849">
        <f>'Resolución 137-2019-OS_CD'!H324*Factores!$B$17</f>
        <v>3.0526139999999997</v>
      </c>
      <c r="I65" s="850"/>
      <c r="J65" s="850"/>
      <c r="K65" s="850"/>
      <c r="L65" s="850"/>
      <c r="M65" s="850"/>
      <c r="N65" s="850"/>
      <c r="O65" s="850"/>
      <c r="P65" s="850"/>
      <c r="R65" s="759">
        <v>2.24</v>
      </c>
      <c r="S65" s="759">
        <v>2.18</v>
      </c>
      <c r="AC65" s="759">
        <f t="shared" si="13"/>
        <v>1</v>
      </c>
      <c r="AD65" s="759">
        <f t="shared" si="14"/>
        <v>1</v>
      </c>
      <c r="AE65" s="759">
        <f t="shared" si="15"/>
        <v>0</v>
      </c>
      <c r="AF65" s="759">
        <f t="shared" si="16"/>
        <v>0</v>
      </c>
      <c r="AG65" s="759">
        <f t="shared" si="17"/>
        <v>0</v>
      </c>
      <c r="AH65" s="759">
        <f t="shared" si="18"/>
        <v>0</v>
      </c>
      <c r="AI65" s="759">
        <f t="shared" si="19"/>
        <v>0</v>
      </c>
      <c r="AJ65" s="759">
        <f t="shared" si="20"/>
        <v>0</v>
      </c>
      <c r="AK65" s="759">
        <f t="shared" si="21"/>
        <v>0</v>
      </c>
      <c r="AL65" s="759">
        <f t="shared" si="22"/>
        <v>0</v>
      </c>
    </row>
    <row r="66" spans="2:38" ht="12.75">
      <c r="B66" s="643"/>
      <c r="C66" s="650" t="s">
        <v>23</v>
      </c>
      <c r="D66" s="640" t="s">
        <v>24</v>
      </c>
      <c r="E66" s="641" t="s">
        <v>25</v>
      </c>
      <c r="F66" s="779" t="s">
        <v>273</v>
      </c>
      <c r="G66" s="849">
        <f>'Resolución 137-2019-OS_CD'!G325*Factores!$B$18</f>
        <v>4.328647</v>
      </c>
      <c r="H66" s="849">
        <f>'Resolución 137-2019-OS_CD'!H325*Factores!$B$18</f>
        <v>4.068184</v>
      </c>
      <c r="I66" s="850"/>
      <c r="J66" s="850"/>
      <c r="K66" s="850"/>
      <c r="L66" s="850"/>
      <c r="M66" s="850"/>
      <c r="N66" s="850"/>
      <c r="O66" s="850"/>
      <c r="P66" s="850"/>
      <c r="R66" s="759">
        <v>3.18</v>
      </c>
      <c r="S66" s="759">
        <v>2.98</v>
      </c>
      <c r="AC66" s="759">
        <f t="shared" si="13"/>
        <v>1</v>
      </c>
      <c r="AD66" s="759">
        <f t="shared" si="14"/>
        <v>1</v>
      </c>
      <c r="AE66" s="759">
        <f t="shared" si="15"/>
        <v>0</v>
      </c>
      <c r="AF66" s="759">
        <f t="shared" si="16"/>
        <v>0</v>
      </c>
      <c r="AG66" s="759">
        <f t="shared" si="17"/>
        <v>0</v>
      </c>
      <c r="AH66" s="759">
        <f t="shared" si="18"/>
        <v>0</v>
      </c>
      <c r="AI66" s="759">
        <f t="shared" si="19"/>
        <v>0</v>
      </c>
      <c r="AJ66" s="759">
        <f t="shared" si="20"/>
        <v>0</v>
      </c>
      <c r="AK66" s="759">
        <f t="shared" si="21"/>
        <v>0</v>
      </c>
      <c r="AL66" s="759">
        <f t="shared" si="22"/>
        <v>0</v>
      </c>
    </row>
    <row r="67" spans="2:38" ht="12.75">
      <c r="B67" s="643"/>
      <c r="C67" s="650" t="s">
        <v>26</v>
      </c>
      <c r="D67" s="640" t="s">
        <v>27</v>
      </c>
      <c r="E67" s="641" t="s">
        <v>28</v>
      </c>
      <c r="F67" s="642" t="s">
        <v>272</v>
      </c>
      <c r="G67" s="849">
        <f>'Resolución 137-2019-OS_CD'!G326*Factores!$B$18</f>
        <v>4.328647</v>
      </c>
      <c r="H67" s="849">
        <f>'Resolución 137-2019-OS_CD'!H326*Factores!$B$18</f>
        <v>4.068184</v>
      </c>
      <c r="I67" s="850"/>
      <c r="J67" s="850"/>
      <c r="K67" s="850"/>
      <c r="L67" s="850"/>
      <c r="M67" s="850"/>
      <c r="N67" s="850"/>
      <c r="O67" s="850"/>
      <c r="P67" s="850"/>
      <c r="R67" s="759">
        <v>3.18</v>
      </c>
      <c r="S67" s="759">
        <v>2.98</v>
      </c>
      <c r="AC67" s="759">
        <f t="shared" si="13"/>
        <v>1</v>
      </c>
      <c r="AD67" s="759">
        <f t="shared" si="14"/>
        <v>1</v>
      </c>
      <c r="AE67" s="759">
        <f t="shared" si="15"/>
        <v>0</v>
      </c>
      <c r="AF67" s="759">
        <f t="shared" si="16"/>
        <v>0</v>
      </c>
      <c r="AG67" s="759">
        <f t="shared" si="17"/>
        <v>0</v>
      </c>
      <c r="AH67" s="759">
        <f t="shared" si="18"/>
        <v>0</v>
      </c>
      <c r="AI67" s="759">
        <f t="shared" si="19"/>
        <v>0</v>
      </c>
      <c r="AJ67" s="759">
        <f t="shared" si="20"/>
        <v>0</v>
      </c>
      <c r="AK67" s="759">
        <f t="shared" si="21"/>
        <v>0</v>
      </c>
      <c r="AL67" s="759">
        <f t="shared" si="22"/>
        <v>0</v>
      </c>
    </row>
    <row r="68" spans="2:38" ht="12.75">
      <c r="B68" s="643"/>
      <c r="C68" s="644"/>
      <c r="D68" s="777" t="s">
        <v>29</v>
      </c>
      <c r="E68" s="740" t="s">
        <v>30</v>
      </c>
      <c r="F68" s="642" t="s">
        <v>272</v>
      </c>
      <c r="G68" s="849"/>
      <c r="H68" s="849">
        <f>'Resolución 137-2019-OS_CD'!H327*Factores!$B$18</f>
        <v>4.068184</v>
      </c>
      <c r="I68" s="850"/>
      <c r="J68" s="850"/>
      <c r="K68" s="850"/>
      <c r="L68" s="850"/>
      <c r="M68" s="850"/>
      <c r="N68" s="850"/>
      <c r="O68" s="850"/>
      <c r="P68" s="850"/>
      <c r="S68" s="759">
        <v>2.98</v>
      </c>
      <c r="AC68" s="759">
        <f t="shared" si="13"/>
        <v>0</v>
      </c>
      <c r="AD68" s="759">
        <f t="shared" si="14"/>
        <v>1</v>
      </c>
      <c r="AE68" s="759">
        <f t="shared" si="15"/>
        <v>0</v>
      </c>
      <c r="AF68" s="759">
        <f t="shared" si="16"/>
        <v>0</v>
      </c>
      <c r="AG68" s="759">
        <f t="shared" si="17"/>
        <v>0</v>
      </c>
      <c r="AH68" s="759">
        <f t="shared" si="18"/>
        <v>0</v>
      </c>
      <c r="AI68" s="759">
        <f t="shared" si="19"/>
        <v>0</v>
      </c>
      <c r="AJ68" s="759">
        <f t="shared" si="20"/>
        <v>0</v>
      </c>
      <c r="AK68" s="759">
        <f t="shared" si="21"/>
        <v>0</v>
      </c>
      <c r="AL68" s="759">
        <f t="shared" si="22"/>
        <v>0</v>
      </c>
    </row>
    <row r="69" spans="2:38" ht="12.75">
      <c r="B69" s="643"/>
      <c r="C69" s="644"/>
      <c r="D69" s="777" t="s">
        <v>31</v>
      </c>
      <c r="E69" s="740" t="s">
        <v>32</v>
      </c>
      <c r="F69" s="642" t="s">
        <v>272</v>
      </c>
      <c r="G69" s="849"/>
      <c r="H69" s="849">
        <f>'Resolución 137-2019-OS_CD'!H328*Factores!$B$18</f>
        <v>4.068184</v>
      </c>
      <c r="I69" s="850"/>
      <c r="J69" s="850"/>
      <c r="K69" s="850"/>
      <c r="L69" s="850"/>
      <c r="M69" s="850"/>
      <c r="N69" s="850"/>
      <c r="O69" s="850"/>
      <c r="P69" s="850"/>
      <c r="S69" s="759">
        <v>2.98</v>
      </c>
      <c r="AC69" s="759">
        <f t="shared" si="13"/>
        <v>0</v>
      </c>
      <c r="AD69" s="759">
        <f t="shared" si="14"/>
        <v>1</v>
      </c>
      <c r="AE69" s="759">
        <f t="shared" si="15"/>
        <v>0</v>
      </c>
      <c r="AF69" s="759">
        <f t="shared" si="16"/>
        <v>0</v>
      </c>
      <c r="AG69" s="759">
        <f t="shared" si="17"/>
        <v>0</v>
      </c>
      <c r="AH69" s="759">
        <f t="shared" si="18"/>
        <v>0</v>
      </c>
      <c r="AI69" s="759">
        <f t="shared" si="19"/>
        <v>0</v>
      </c>
      <c r="AJ69" s="759">
        <f t="shared" si="20"/>
        <v>0</v>
      </c>
      <c r="AK69" s="759">
        <f t="shared" si="21"/>
        <v>0</v>
      </c>
      <c r="AL69" s="759">
        <f t="shared" si="22"/>
        <v>0</v>
      </c>
    </row>
    <row r="70" spans="2:39" ht="12.75">
      <c r="B70" s="647"/>
      <c r="C70" s="654"/>
      <c r="D70" s="780" t="s">
        <v>33</v>
      </c>
      <c r="E70" s="743" t="s">
        <v>34</v>
      </c>
      <c r="F70" s="642" t="s">
        <v>272</v>
      </c>
      <c r="G70" s="849"/>
      <c r="H70" s="849">
        <f>'Resolución 137-2019-OS_CD'!H329*Factores!$B$18</f>
        <v>4.068184</v>
      </c>
      <c r="I70" s="850"/>
      <c r="J70" s="850"/>
      <c r="K70" s="850"/>
      <c r="L70" s="850"/>
      <c r="M70" s="850"/>
      <c r="N70" s="850"/>
      <c r="O70" s="850"/>
      <c r="P70" s="850"/>
      <c r="S70" s="759">
        <v>2.98</v>
      </c>
      <c r="AC70" s="759">
        <f t="shared" si="13"/>
        <v>0</v>
      </c>
      <c r="AD70" s="759">
        <f t="shared" si="14"/>
        <v>1</v>
      </c>
      <c r="AE70" s="759">
        <f t="shared" si="15"/>
        <v>0</v>
      </c>
      <c r="AF70" s="759">
        <f t="shared" si="16"/>
        <v>0</v>
      </c>
      <c r="AG70" s="759">
        <f t="shared" si="17"/>
        <v>0</v>
      </c>
      <c r="AH70" s="759">
        <f t="shared" si="18"/>
        <v>0</v>
      </c>
      <c r="AI70" s="759">
        <f t="shared" si="19"/>
        <v>0</v>
      </c>
      <c r="AJ70" s="759">
        <f t="shared" si="20"/>
        <v>0</v>
      </c>
      <c r="AK70" s="759">
        <f t="shared" si="21"/>
        <v>0</v>
      </c>
      <c r="AL70" s="759">
        <f t="shared" si="22"/>
        <v>0</v>
      </c>
      <c r="AM70" s="798">
        <f>+SUM(AC58:AL70)</f>
        <v>35</v>
      </c>
    </row>
    <row r="71" spans="2:16" ht="12.75">
      <c r="B71" s="762" t="s">
        <v>283</v>
      </c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</row>
    <row r="72" spans="2:16" ht="12.75">
      <c r="B72" s="762" t="s">
        <v>284</v>
      </c>
      <c r="C72" s="762"/>
      <c r="D72" s="762"/>
      <c r="E72" s="762"/>
      <c r="F72" s="762"/>
      <c r="G72" s="762"/>
      <c r="H72" s="762"/>
      <c r="I72" s="762"/>
      <c r="J72" s="762"/>
      <c r="K72" s="762"/>
      <c r="L72" s="762"/>
      <c r="M72" s="762"/>
      <c r="N72" s="762"/>
      <c r="O72" s="762"/>
      <c r="P72" s="762"/>
    </row>
    <row r="73" spans="2:16" ht="12.75">
      <c r="B73" s="762"/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762"/>
      <c r="N73" s="762"/>
      <c r="O73" s="762"/>
      <c r="P73" s="762"/>
    </row>
    <row r="74" spans="2:16" ht="12.75">
      <c r="B74" s="762"/>
      <c r="C74" s="762"/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762"/>
      <c r="O74" s="762"/>
      <c r="P74" s="762"/>
    </row>
    <row r="75" spans="2:16" ht="15.75">
      <c r="B75" s="632" t="s">
        <v>313</v>
      </c>
      <c r="C75" s="762"/>
      <c r="D75" s="633"/>
      <c r="E75" s="633"/>
      <c r="F75" s="633"/>
      <c r="G75" s="633"/>
      <c r="H75" s="633"/>
      <c r="I75" s="762"/>
      <c r="J75" s="762"/>
      <c r="K75" s="762"/>
      <c r="L75" s="762"/>
      <c r="M75" s="762"/>
      <c r="N75" s="762"/>
      <c r="O75" s="762"/>
      <c r="P75" s="762"/>
    </row>
    <row r="76" spans="2:16" ht="12.75">
      <c r="B76" s="762"/>
      <c r="C76" s="762"/>
      <c r="D76" s="762"/>
      <c r="E76" s="762"/>
      <c r="F76" s="762"/>
      <c r="G76" s="974" t="s">
        <v>307</v>
      </c>
      <c r="H76" s="975"/>
      <c r="I76" s="974" t="s">
        <v>308</v>
      </c>
      <c r="J76" s="975"/>
      <c r="K76" s="974" t="s">
        <v>309</v>
      </c>
      <c r="L76" s="975"/>
      <c r="M76" s="978" t="s">
        <v>310</v>
      </c>
      <c r="N76" s="979"/>
      <c r="O76" s="762"/>
      <c r="P76" s="762"/>
    </row>
    <row r="77" spans="2:16" ht="12.75">
      <c r="B77" s="635" t="s">
        <v>6</v>
      </c>
      <c r="C77" s="635" t="s">
        <v>3</v>
      </c>
      <c r="D77" s="635" t="s">
        <v>4</v>
      </c>
      <c r="E77" s="635" t="s">
        <v>7</v>
      </c>
      <c r="F77" s="635" t="s">
        <v>49</v>
      </c>
      <c r="G77" s="635" t="s">
        <v>1</v>
      </c>
      <c r="H77" s="635" t="s">
        <v>2</v>
      </c>
      <c r="I77" s="635" t="s">
        <v>1</v>
      </c>
      <c r="J77" s="635" t="s">
        <v>2</v>
      </c>
      <c r="K77" s="635" t="s">
        <v>1</v>
      </c>
      <c r="L77" s="635" t="s">
        <v>2</v>
      </c>
      <c r="M77" s="635" t="s">
        <v>1</v>
      </c>
      <c r="N77" s="635" t="s">
        <v>2</v>
      </c>
      <c r="O77" s="762"/>
      <c r="P77" s="762"/>
    </row>
    <row r="78" spans="2:16" ht="12.75">
      <c r="B78" s="658"/>
      <c r="C78" s="658"/>
      <c r="D78" s="658"/>
      <c r="E78" s="658" t="s">
        <v>86</v>
      </c>
      <c r="F78" s="658" t="s">
        <v>304</v>
      </c>
      <c r="G78" s="639" t="s">
        <v>280</v>
      </c>
      <c r="H78" s="639" t="s">
        <v>285</v>
      </c>
      <c r="I78" s="639" t="s">
        <v>280</v>
      </c>
      <c r="J78" s="639" t="s">
        <v>285</v>
      </c>
      <c r="K78" s="639" t="s">
        <v>280</v>
      </c>
      <c r="L78" s="639" t="s">
        <v>285</v>
      </c>
      <c r="M78" s="639" t="s">
        <v>280</v>
      </c>
      <c r="N78" s="639" t="s">
        <v>285</v>
      </c>
      <c r="O78" s="762"/>
      <c r="P78" s="762"/>
    </row>
    <row r="79" spans="2:34" ht="12.75">
      <c r="B79" s="640" t="s">
        <v>18</v>
      </c>
      <c r="C79" s="640" t="s">
        <v>16</v>
      </c>
      <c r="D79" s="663" t="s">
        <v>17</v>
      </c>
      <c r="E79" s="664" t="s">
        <v>19</v>
      </c>
      <c r="F79" s="663" t="s">
        <v>60</v>
      </c>
      <c r="G79" s="848">
        <f>'Resolución 137-2019-OS_CD'!G338*Factores!$B$17</f>
        <v>1.290536</v>
      </c>
      <c r="H79" s="848">
        <f>'Resolución 137-2019-OS_CD'!H338*Factores!$B$17</f>
        <v>1.2284909999999998</v>
      </c>
      <c r="I79" s="848">
        <f>'Resolución 137-2019-OS_CD'!I338*Factores!$B$17</f>
        <v>1.290536</v>
      </c>
      <c r="J79" s="848">
        <f>'Resolución 137-2019-OS_CD'!J338*Factores!$B$17</f>
        <v>1.2284909999999998</v>
      </c>
      <c r="K79" s="848">
        <f>'Resolución 137-2019-OS_CD'!K338*Factores!$B$17</f>
        <v>1.4394439999999997</v>
      </c>
      <c r="L79" s="848">
        <f>'Resolución 137-2019-OS_CD'!L338*Factores!$B$17</f>
        <v>1.36499</v>
      </c>
      <c r="M79" s="848">
        <f>'Resolución 137-2019-OS_CD'!M338*Factores!$B$17</f>
        <v>1.4394439999999997</v>
      </c>
      <c r="N79" s="848">
        <f>'Resolución 137-2019-OS_CD'!N338*Factores!$B$17</f>
        <v>1.36499</v>
      </c>
      <c r="O79" s="762"/>
      <c r="P79" s="762"/>
      <c r="R79" s="759">
        <v>0.98</v>
      </c>
      <c r="S79" s="759">
        <v>0.95</v>
      </c>
      <c r="T79" s="759">
        <v>0.98</v>
      </c>
      <c r="U79" s="759">
        <v>0.95</v>
      </c>
      <c r="V79" s="759">
        <v>1.1</v>
      </c>
      <c r="W79" s="759">
        <v>1.06</v>
      </c>
      <c r="X79" s="759">
        <v>1.1</v>
      </c>
      <c r="Y79" s="759">
        <v>1.06</v>
      </c>
      <c r="AA79" s="759">
        <f>+IF(R79=G79,0,1)</f>
        <v>1</v>
      </c>
      <c r="AB79" s="759">
        <f aca="true" t="shared" si="23" ref="AB79:AH79">+IF(S79=H79,0,1)</f>
        <v>1</v>
      </c>
      <c r="AC79" s="759">
        <f t="shared" si="23"/>
        <v>1</v>
      </c>
      <c r="AD79" s="759">
        <f t="shared" si="23"/>
        <v>1</v>
      </c>
      <c r="AE79" s="759">
        <f t="shared" si="23"/>
        <v>1</v>
      </c>
      <c r="AF79" s="759">
        <f t="shared" si="23"/>
        <v>1</v>
      </c>
      <c r="AG79" s="759">
        <f t="shared" si="23"/>
        <v>1</v>
      </c>
      <c r="AH79" s="759">
        <f t="shared" si="23"/>
        <v>1</v>
      </c>
    </row>
    <row r="80" spans="2:35" ht="12.75">
      <c r="B80" s="647"/>
      <c r="C80" s="647"/>
      <c r="D80" s="663" t="s">
        <v>21</v>
      </c>
      <c r="E80" s="666" t="s">
        <v>22</v>
      </c>
      <c r="F80" s="663" t="s">
        <v>60</v>
      </c>
      <c r="G80" s="848">
        <f>'Resolución 137-2019-OS_CD'!G339*Factores!$B$17</f>
        <v>1.290536</v>
      </c>
      <c r="H80" s="848">
        <f>'Resolución 137-2019-OS_CD'!H339*Factores!$B$17</f>
        <v>1.2284909999999998</v>
      </c>
      <c r="I80" s="848">
        <f>'Resolución 137-2019-OS_CD'!I339*Factores!$B$17</f>
        <v>1.290536</v>
      </c>
      <c r="J80" s="848">
        <f>'Resolución 137-2019-OS_CD'!J339*Factores!$B$17</f>
        <v>1.2284909999999998</v>
      </c>
      <c r="K80" s="848">
        <f>'Resolución 137-2019-OS_CD'!K339*Factores!$B$17</f>
        <v>1.4394439999999997</v>
      </c>
      <c r="L80" s="848">
        <f>'Resolución 137-2019-OS_CD'!L339*Factores!$B$17</f>
        <v>1.36499</v>
      </c>
      <c r="M80" s="848">
        <f>'Resolución 137-2019-OS_CD'!M339*Factores!$B$17</f>
        <v>1.4394439999999997</v>
      </c>
      <c r="N80" s="848">
        <f>'Resolución 137-2019-OS_CD'!N339*Factores!$B$17</f>
        <v>1.36499</v>
      </c>
      <c r="O80" s="762"/>
      <c r="P80" s="762"/>
      <c r="R80" s="759">
        <v>0.98</v>
      </c>
      <c r="S80" s="759">
        <v>0.95</v>
      </c>
      <c r="T80" s="759">
        <v>0.98</v>
      </c>
      <c r="U80" s="759">
        <v>0.95</v>
      </c>
      <c r="V80" s="759">
        <v>1.1</v>
      </c>
      <c r="W80" s="759">
        <v>1.06</v>
      </c>
      <c r="X80" s="759">
        <v>1.1</v>
      </c>
      <c r="Y80" s="759">
        <v>1.06</v>
      </c>
      <c r="AA80" s="759">
        <f>+IF(R80=G80,0,1)</f>
        <v>1</v>
      </c>
      <c r="AB80" s="759">
        <f>+IF(S80=H80,0,1)</f>
        <v>1</v>
      </c>
      <c r="AC80" s="759">
        <f>+IF(T80=I80,0,1)</f>
        <v>1</v>
      </c>
      <c r="AD80" s="759">
        <f>+IF(U80=J80,0,1)</f>
        <v>1</v>
      </c>
      <c r="AE80" s="759">
        <f>+IF(V80=K80,0,1)</f>
        <v>1</v>
      </c>
      <c r="AF80" s="759">
        <f>+IF(W80=L80,0,1)</f>
        <v>1</v>
      </c>
      <c r="AG80" s="759">
        <f>+IF(X80=M80,0,1)</f>
        <v>1</v>
      </c>
      <c r="AH80" s="759">
        <f>+IF(Y80=N80,0,1)</f>
        <v>1</v>
      </c>
      <c r="AI80" s="781">
        <f>+SUM(AA79:AH80)</f>
        <v>16</v>
      </c>
    </row>
    <row r="81" spans="2:16" ht="12.75">
      <c r="B81" s="762" t="s">
        <v>281</v>
      </c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2"/>
      <c r="O81" s="762"/>
      <c r="P81" s="762"/>
    </row>
    <row r="82" spans="2:16" ht="12.75">
      <c r="B82" s="762" t="s">
        <v>284</v>
      </c>
      <c r="C82" s="762"/>
      <c r="D82" s="762"/>
      <c r="E82" s="762"/>
      <c r="F82" s="762"/>
      <c r="G82" s="762"/>
      <c r="H82" s="762"/>
      <c r="I82" s="762"/>
      <c r="J82" s="762"/>
      <c r="K82" s="762"/>
      <c r="L82" s="762"/>
      <c r="M82" s="762"/>
      <c r="N82" s="762"/>
      <c r="O82" s="762"/>
      <c r="P82" s="762"/>
    </row>
    <row r="83" spans="2:16" ht="12.75">
      <c r="B83" s="762"/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2"/>
    </row>
    <row r="84" spans="2:16" ht="15.75">
      <c r="B84" s="632" t="s">
        <v>314</v>
      </c>
      <c r="C84" s="762"/>
      <c r="D84" s="762"/>
      <c r="E84" s="762"/>
      <c r="F84" s="762"/>
      <c r="G84" s="762"/>
      <c r="H84" s="762"/>
      <c r="I84" s="762"/>
      <c r="J84" s="762"/>
      <c r="K84" s="762"/>
      <c r="L84" s="762"/>
      <c r="M84" s="762"/>
      <c r="N84" s="762"/>
      <c r="O84" s="762"/>
      <c r="P84" s="762"/>
    </row>
    <row r="85" spans="2:16" ht="12.75">
      <c r="B85" s="762"/>
      <c r="C85" s="762"/>
      <c r="D85" s="633"/>
      <c r="E85" s="633"/>
      <c r="F85" s="633"/>
      <c r="G85" s="633"/>
      <c r="H85" s="633"/>
      <c r="I85" s="762"/>
      <c r="J85" s="762"/>
      <c r="K85" s="762"/>
      <c r="L85" s="762"/>
      <c r="M85" s="762"/>
      <c r="N85" s="762"/>
      <c r="O85" s="762"/>
      <c r="P85" s="762"/>
    </row>
    <row r="86" spans="2:16" ht="12.75">
      <c r="B86" s="635" t="s">
        <v>6</v>
      </c>
      <c r="C86" s="636" t="s">
        <v>3</v>
      </c>
      <c r="D86" s="635" t="s">
        <v>4</v>
      </c>
      <c r="E86" s="635" t="s">
        <v>7</v>
      </c>
      <c r="F86" s="635" t="s">
        <v>49</v>
      </c>
      <c r="G86" s="635" t="s">
        <v>1</v>
      </c>
      <c r="H86" s="635" t="s">
        <v>2</v>
      </c>
      <c r="I86" s="762"/>
      <c r="J86" s="762"/>
      <c r="K86" s="762"/>
      <c r="L86" s="762"/>
      <c r="M86" s="762"/>
      <c r="N86" s="762"/>
      <c r="O86" s="762"/>
      <c r="P86" s="762"/>
    </row>
    <row r="87" spans="2:16" ht="12.75">
      <c r="B87" s="637"/>
      <c r="C87" s="638"/>
      <c r="D87" s="637"/>
      <c r="E87" s="637" t="s">
        <v>86</v>
      </c>
      <c r="F87" s="637" t="s">
        <v>304</v>
      </c>
      <c r="G87" s="639" t="s">
        <v>274</v>
      </c>
      <c r="H87" s="637" t="s">
        <v>275</v>
      </c>
      <c r="I87" s="762"/>
      <c r="J87" s="762"/>
      <c r="K87" s="762"/>
      <c r="L87" s="762"/>
      <c r="M87" s="762"/>
      <c r="N87" s="762"/>
      <c r="O87" s="762"/>
      <c r="P87" s="762"/>
    </row>
    <row r="88" spans="2:22" ht="12.75">
      <c r="B88" s="687" t="s">
        <v>11</v>
      </c>
      <c r="C88" s="640" t="s">
        <v>9</v>
      </c>
      <c r="D88" s="640" t="s">
        <v>10</v>
      </c>
      <c r="E88" s="641" t="s">
        <v>12</v>
      </c>
      <c r="F88" s="642" t="s">
        <v>149</v>
      </c>
      <c r="G88" s="849">
        <f>+'Resolución 137-2019-OS_CD'!G347*Factores!$B$17</f>
        <v>0.8810389999999999</v>
      </c>
      <c r="H88" s="849">
        <f>+'Resolución 137-2019-OS_CD'!H347*Factores!$B$17</f>
        <v>0.7693579999999999</v>
      </c>
      <c r="I88" s="762"/>
      <c r="J88" s="762"/>
      <c r="K88" s="762"/>
      <c r="L88" s="762"/>
      <c r="M88" s="762"/>
      <c r="N88" s="762"/>
      <c r="O88" s="762"/>
      <c r="P88" s="762"/>
      <c r="R88" s="759">
        <v>0.64</v>
      </c>
      <c r="S88" s="759">
        <v>0.6</v>
      </c>
      <c r="U88" s="759">
        <f>+IF(R88=G88,0,1)</f>
        <v>1</v>
      </c>
      <c r="V88" s="759">
        <f>+IF(S88=H88,0,1)</f>
        <v>1</v>
      </c>
    </row>
    <row r="89" spans="2:22" ht="12.75">
      <c r="B89" s="799"/>
      <c r="C89" s="775"/>
      <c r="D89" s="775"/>
      <c r="E89" s="775"/>
      <c r="F89" s="642" t="s">
        <v>288</v>
      </c>
      <c r="G89" s="849">
        <f>+'Resolución 137-2019-OS_CD'!G348*Factores!$B$17</f>
        <v>0.8810389999999999</v>
      </c>
      <c r="H89" s="849">
        <f>+'Resolución 137-2019-OS_CD'!H348*Factores!$B$17</f>
        <v>0.7693579999999999</v>
      </c>
      <c r="I89" s="762"/>
      <c r="J89" s="762"/>
      <c r="K89" s="762"/>
      <c r="L89" s="762"/>
      <c r="M89" s="762"/>
      <c r="N89" s="762"/>
      <c r="O89" s="762"/>
      <c r="P89" s="762"/>
      <c r="R89" s="759">
        <v>0.64</v>
      </c>
      <c r="S89" s="759">
        <v>0.6</v>
      </c>
      <c r="U89" s="759">
        <f>+IF(R89=G89,0,1)</f>
        <v>1</v>
      </c>
      <c r="V89" s="759">
        <f>+IF(S89=H89,0,1)</f>
        <v>1</v>
      </c>
    </row>
    <row r="90" spans="2:22" ht="12.75">
      <c r="B90" s="738"/>
      <c r="C90" s="643"/>
      <c r="D90" s="643"/>
      <c r="E90" s="645"/>
      <c r="F90" s="642" t="s">
        <v>150</v>
      </c>
      <c r="G90" s="849">
        <f>+'Resolución 137-2019-OS_CD'!G349*Factores!$B$17</f>
        <v>0.8810389999999999</v>
      </c>
      <c r="H90" s="849">
        <f>+'Resolución 137-2019-OS_CD'!H349*Factores!$B$17</f>
        <v>0.7693579999999999</v>
      </c>
      <c r="I90" s="762"/>
      <c r="J90" s="762"/>
      <c r="K90" s="762"/>
      <c r="L90" s="762"/>
      <c r="M90" s="762"/>
      <c r="N90" s="762"/>
      <c r="O90" s="762"/>
      <c r="P90" s="762"/>
      <c r="R90" s="759">
        <v>0.64</v>
      </c>
      <c r="S90" s="759">
        <v>0.6</v>
      </c>
      <c r="U90" s="759">
        <f>+IF(R90=G90,0,1)</f>
        <v>1</v>
      </c>
      <c r="V90" s="759">
        <f>+IF(S90=H90,0,1)</f>
        <v>1</v>
      </c>
    </row>
    <row r="91" spans="2:22" ht="12.75">
      <c r="B91" s="799"/>
      <c r="C91" s="775"/>
      <c r="D91" s="775"/>
      <c r="E91" s="775"/>
      <c r="F91" s="642" t="s">
        <v>289</v>
      </c>
      <c r="G91" s="849">
        <f>+'Resolución 137-2019-OS_CD'!G350*Factores!$B$17</f>
        <v>0.8810389999999999</v>
      </c>
      <c r="H91" s="849">
        <f>+'Resolución 137-2019-OS_CD'!H350*Factores!$B$17</f>
        <v>0.7693579999999999</v>
      </c>
      <c r="I91" s="762"/>
      <c r="J91" s="762"/>
      <c r="K91" s="762"/>
      <c r="L91" s="762"/>
      <c r="M91" s="762"/>
      <c r="N91" s="762"/>
      <c r="O91" s="762"/>
      <c r="P91" s="762"/>
      <c r="R91" s="759">
        <v>0.64</v>
      </c>
      <c r="S91" s="759">
        <v>0.6</v>
      </c>
      <c r="U91" s="759">
        <f>+IF(R91=G91,0,1)</f>
        <v>1</v>
      </c>
      <c r="V91" s="759">
        <f>+IF(S91=H91,0,1)</f>
        <v>1</v>
      </c>
    </row>
    <row r="92" spans="2:22" ht="12.75">
      <c r="B92" s="738"/>
      <c r="C92" s="643"/>
      <c r="D92" s="640" t="s">
        <v>14</v>
      </c>
      <c r="E92" s="641" t="s">
        <v>15</v>
      </c>
      <c r="F92" s="642" t="s">
        <v>149</v>
      </c>
      <c r="G92" s="849">
        <f>+'Resolución 137-2019-OS_CD'!G351*Factores!$B$17</f>
        <v>0.8810389999999999</v>
      </c>
      <c r="H92" s="849">
        <f>+'Resolución 137-2019-OS_CD'!H351*Factores!$B$17</f>
        <v>0.7693579999999999</v>
      </c>
      <c r="I92" s="762"/>
      <c r="J92" s="762"/>
      <c r="K92" s="762"/>
      <c r="L92" s="762"/>
      <c r="M92" s="762"/>
      <c r="N92" s="762"/>
      <c r="O92" s="762"/>
      <c r="P92" s="762"/>
      <c r="R92" s="759">
        <v>0.64</v>
      </c>
      <c r="S92" s="759">
        <v>0.6</v>
      </c>
      <c r="U92" s="759">
        <f>+IF(R92=G92,0,1)</f>
        <v>1</v>
      </c>
      <c r="V92" s="759">
        <f>+IF(S92=H92,0,1)</f>
        <v>1</v>
      </c>
    </row>
    <row r="93" spans="2:23" ht="12.75">
      <c r="B93" s="724"/>
      <c r="C93" s="647"/>
      <c r="D93" s="647"/>
      <c r="E93" s="662"/>
      <c r="F93" s="642" t="s">
        <v>150</v>
      </c>
      <c r="G93" s="849">
        <f>+'Resolución 137-2019-OS_CD'!G352*Factores!$B$17</f>
        <v>0.8810389999999999</v>
      </c>
      <c r="H93" s="849">
        <f>+'Resolución 137-2019-OS_CD'!H352*Factores!$B$17</f>
        <v>0.7693579999999999</v>
      </c>
      <c r="I93" s="762"/>
      <c r="J93" s="762"/>
      <c r="K93" s="762"/>
      <c r="L93" s="762"/>
      <c r="M93" s="762"/>
      <c r="N93" s="762"/>
      <c r="O93" s="762"/>
      <c r="P93" s="762"/>
      <c r="R93" s="759">
        <v>0.64</v>
      </c>
      <c r="S93" s="759">
        <v>0.6</v>
      </c>
      <c r="U93" s="759">
        <f>+IF(R93=G93,0,1)</f>
        <v>1</v>
      </c>
      <c r="V93" s="759">
        <f>+IF(S93=H93,0,1)</f>
        <v>1</v>
      </c>
      <c r="W93" s="800">
        <f>+SUM(U88:V93)</f>
        <v>12</v>
      </c>
    </row>
    <row r="94" spans="2:16" ht="12.75">
      <c r="B94" s="762" t="s">
        <v>276</v>
      </c>
      <c r="C94" s="762"/>
      <c r="D94" s="762"/>
      <c r="E94" s="762"/>
      <c r="F94" s="762"/>
      <c r="G94" s="762"/>
      <c r="H94" s="762"/>
      <c r="I94" s="762"/>
      <c r="J94" s="762"/>
      <c r="K94" s="762"/>
      <c r="L94" s="762"/>
      <c r="M94" s="762"/>
      <c r="N94" s="762"/>
      <c r="O94" s="762"/>
      <c r="P94" s="762"/>
    </row>
    <row r="95" spans="2:16" ht="12.75">
      <c r="B95" s="762" t="s">
        <v>277</v>
      </c>
      <c r="C95" s="762"/>
      <c r="D95" s="762"/>
      <c r="E95" s="762"/>
      <c r="F95" s="762"/>
      <c r="G95" s="762"/>
      <c r="H95" s="762"/>
      <c r="I95" s="762"/>
      <c r="J95" s="762"/>
      <c r="K95" s="762"/>
      <c r="L95" s="762"/>
      <c r="M95" s="762"/>
      <c r="N95" s="762"/>
      <c r="O95" s="762"/>
      <c r="P95" s="762"/>
    </row>
    <row r="96" spans="2:16" ht="12.75">
      <c r="B96" s="762" t="s">
        <v>278</v>
      </c>
      <c r="C96" s="762"/>
      <c r="D96" s="762"/>
      <c r="E96" s="762"/>
      <c r="F96" s="762"/>
      <c r="G96" s="762"/>
      <c r="H96" s="762"/>
      <c r="I96" s="762"/>
      <c r="J96" s="762"/>
      <c r="K96" s="762"/>
      <c r="L96" s="762"/>
      <c r="M96" s="762"/>
      <c r="N96" s="762"/>
      <c r="O96" s="762"/>
      <c r="P96" s="762"/>
    </row>
    <row r="97" spans="2:16" ht="12.75">
      <c r="B97" s="762"/>
      <c r="C97" s="762"/>
      <c r="D97" s="762"/>
      <c r="E97" s="762"/>
      <c r="F97" s="762"/>
      <c r="G97" s="762"/>
      <c r="H97" s="762"/>
      <c r="I97" s="762"/>
      <c r="J97" s="762"/>
      <c r="K97" s="762"/>
      <c r="L97" s="762"/>
      <c r="M97" s="762"/>
      <c r="N97" s="762"/>
      <c r="O97" s="762"/>
      <c r="P97" s="762"/>
    </row>
    <row r="98" spans="2:16" ht="12.75">
      <c r="B98" s="762"/>
      <c r="C98" s="762"/>
      <c r="D98" s="762"/>
      <c r="E98" s="762"/>
      <c r="F98" s="762"/>
      <c r="G98" s="762"/>
      <c r="H98" s="762"/>
      <c r="I98" s="762"/>
      <c r="J98" s="762"/>
      <c r="K98" s="762"/>
      <c r="L98" s="762"/>
      <c r="M98" s="762"/>
      <c r="N98" s="762"/>
      <c r="O98" s="762"/>
      <c r="P98" s="762"/>
    </row>
    <row r="99" spans="2:16" ht="12.75">
      <c r="B99" s="762"/>
      <c r="C99" s="762"/>
      <c r="D99" s="762"/>
      <c r="E99" s="762"/>
      <c r="F99" s="762"/>
      <c r="G99" s="762"/>
      <c r="H99" s="762"/>
      <c r="I99" s="762"/>
      <c r="J99" s="762"/>
      <c r="K99" s="762"/>
      <c r="L99" s="762"/>
      <c r="M99" s="762"/>
      <c r="N99" s="762"/>
      <c r="O99" s="762"/>
      <c r="P99" s="762"/>
    </row>
    <row r="100" spans="2:16" ht="12.75">
      <c r="B100" s="762"/>
      <c r="C100" s="762"/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</row>
    <row r="101" spans="2:16" ht="15.75">
      <c r="B101" s="632" t="s">
        <v>315</v>
      </c>
      <c r="C101" s="633"/>
      <c r="D101" s="633"/>
      <c r="E101" s="633"/>
      <c r="F101" s="633"/>
      <c r="G101" s="633"/>
      <c r="H101" s="633"/>
      <c r="I101" s="633"/>
      <c r="J101" s="633"/>
      <c r="K101" s="633"/>
      <c r="L101" s="633"/>
      <c r="M101" s="762"/>
      <c r="N101" s="762"/>
      <c r="O101" s="762"/>
      <c r="P101" s="762"/>
    </row>
    <row r="102" spans="2:16" ht="12.75">
      <c r="B102" s="633"/>
      <c r="C102" s="633"/>
      <c r="D102" s="633"/>
      <c r="E102" s="633"/>
      <c r="F102" s="633"/>
      <c r="G102" s="633"/>
      <c r="H102" s="633"/>
      <c r="I102" s="633"/>
      <c r="J102" s="633"/>
      <c r="K102" s="633"/>
      <c r="L102" s="633"/>
      <c r="M102" s="762"/>
      <c r="N102" s="762"/>
      <c r="O102" s="762"/>
      <c r="P102" s="762"/>
    </row>
    <row r="103" spans="2:16" ht="12.75">
      <c r="B103" s="633"/>
      <c r="C103" s="633"/>
      <c r="D103" s="633"/>
      <c r="E103" s="633"/>
      <c r="F103" s="633"/>
      <c r="G103" s="680" t="s">
        <v>98</v>
      </c>
      <c r="H103" s="681"/>
      <c r="I103" s="682" t="s">
        <v>99</v>
      </c>
      <c r="J103" s="681"/>
      <c r="K103" s="682" t="s">
        <v>245</v>
      </c>
      <c r="L103" s="681"/>
      <c r="M103" s="762"/>
      <c r="N103" s="762"/>
      <c r="O103" s="762"/>
      <c r="P103" s="762"/>
    </row>
    <row r="104" spans="2:16" ht="12.75">
      <c r="B104" s="635" t="s">
        <v>6</v>
      </c>
      <c r="C104" s="635" t="s">
        <v>3</v>
      </c>
      <c r="D104" s="669" t="s">
        <v>4</v>
      </c>
      <c r="E104" s="635" t="s">
        <v>7</v>
      </c>
      <c r="F104" s="669" t="s">
        <v>49</v>
      </c>
      <c r="G104" s="635" t="s">
        <v>35</v>
      </c>
      <c r="H104" s="635" t="s">
        <v>36</v>
      </c>
      <c r="I104" s="635" t="s">
        <v>35</v>
      </c>
      <c r="J104" s="635" t="s">
        <v>36</v>
      </c>
      <c r="K104" s="635" t="s">
        <v>35</v>
      </c>
      <c r="L104" s="635" t="s">
        <v>36</v>
      </c>
      <c r="M104" s="762"/>
      <c r="N104" s="762"/>
      <c r="O104" s="762"/>
      <c r="P104" s="762"/>
    </row>
    <row r="105" spans="2:16" ht="12.75">
      <c r="B105" s="797"/>
      <c r="C105" s="797"/>
      <c r="D105" s="799"/>
      <c r="E105" s="801" t="s">
        <v>86</v>
      </c>
      <c r="F105" s="802" t="s">
        <v>304</v>
      </c>
      <c r="G105" s="856"/>
      <c r="H105" s="856"/>
      <c r="I105" s="856"/>
      <c r="J105" s="856"/>
      <c r="K105" s="856"/>
      <c r="L105" s="856"/>
      <c r="M105" s="762"/>
      <c r="N105" s="762"/>
      <c r="O105" s="762"/>
      <c r="P105" s="762"/>
    </row>
    <row r="106" spans="2:30" ht="12.75">
      <c r="B106" s="640" t="s">
        <v>18</v>
      </c>
      <c r="C106" s="640" t="s">
        <v>37</v>
      </c>
      <c r="D106" s="650" t="s">
        <v>38</v>
      </c>
      <c r="E106" s="641" t="s">
        <v>39</v>
      </c>
      <c r="F106" s="803" t="s">
        <v>291</v>
      </c>
      <c r="G106" s="849">
        <f>'Resolución 137-2019-OS_CD'!G363*Factores!$B$18</f>
        <v>12.762686999999998</v>
      </c>
      <c r="H106" s="849">
        <f>'Resolución 137-2019-OS_CD'!H363*Factores!$B$18</f>
        <v>12.737881</v>
      </c>
      <c r="I106" s="849">
        <f>'Resolución 137-2019-OS_CD'!I363*Factores!$B$18</f>
        <v>12.762686999999998</v>
      </c>
      <c r="J106" s="849">
        <f>'Resolución 137-2019-OS_CD'!J363*Factores!$B$18</f>
        <v>12.737881</v>
      </c>
      <c r="K106" s="849">
        <f>'Resolución 137-2019-OS_CD'!K363*Factores!$B$18</f>
        <v>13.345628</v>
      </c>
      <c r="L106" s="849">
        <f>'Resolución 137-2019-OS_CD'!L363*Factores!$B$18</f>
        <v>13.618494</v>
      </c>
      <c r="M106" s="762"/>
      <c r="N106" s="762"/>
      <c r="O106" s="762"/>
      <c r="P106" s="762"/>
      <c r="R106" s="759">
        <v>9.04</v>
      </c>
      <c r="S106" s="759">
        <v>9.3</v>
      </c>
      <c r="T106" s="759">
        <v>9.04</v>
      </c>
      <c r="U106" s="759">
        <v>9.3</v>
      </c>
      <c r="V106" s="759">
        <v>9.51</v>
      </c>
      <c r="W106" s="759">
        <v>9.99</v>
      </c>
      <c r="Y106" s="759">
        <f>+IF(R106=G106,0,1)</f>
        <v>1</v>
      </c>
      <c r="Z106" s="759">
        <f>+IF(S106=H106,0,1)</f>
        <v>1</v>
      </c>
      <c r="AA106" s="759">
        <f>+IF(T106=I106,0,1)</f>
        <v>1</v>
      </c>
      <c r="AB106" s="759">
        <f>+IF(U106=J106,0,1)</f>
        <v>1</v>
      </c>
      <c r="AC106" s="759">
        <f>+IF(V106=K106,0,1)</f>
        <v>1</v>
      </c>
      <c r="AD106" s="759">
        <f>+IF(W106=L106,0,1)</f>
        <v>1</v>
      </c>
    </row>
    <row r="107" spans="2:30" ht="12.75">
      <c r="B107" s="643"/>
      <c r="C107" s="643"/>
      <c r="D107" s="650" t="s">
        <v>41</v>
      </c>
      <c r="E107" s="641" t="s">
        <v>42</v>
      </c>
      <c r="F107" s="803" t="s">
        <v>291</v>
      </c>
      <c r="G107" s="849">
        <f>'Resolución 137-2019-OS_CD'!G364*Factores!$B$18</f>
        <v>12.762686999999998</v>
      </c>
      <c r="H107" s="849">
        <f>'Resolución 137-2019-OS_CD'!H364*Factores!$B$18</f>
        <v>12.737881</v>
      </c>
      <c r="I107" s="849">
        <f>'Resolución 137-2019-OS_CD'!I364*Factores!$B$18</f>
        <v>12.762686999999998</v>
      </c>
      <c r="J107" s="849">
        <f>'Resolución 137-2019-OS_CD'!J364*Factores!$B$18</f>
        <v>12.737881</v>
      </c>
      <c r="K107" s="849">
        <f>'Resolución 137-2019-OS_CD'!K364*Factores!$B$18</f>
        <v>13.345628</v>
      </c>
      <c r="L107" s="849">
        <f>'Resolución 137-2019-OS_CD'!L364*Factores!$B$18</f>
        <v>13.618494</v>
      </c>
      <c r="M107" s="762"/>
      <c r="N107" s="762"/>
      <c r="O107" s="762"/>
      <c r="P107" s="762"/>
      <c r="R107" s="759">
        <v>9.04</v>
      </c>
      <c r="S107" s="759">
        <v>9.3</v>
      </c>
      <c r="T107" s="759">
        <v>9.04</v>
      </c>
      <c r="U107" s="759">
        <v>9.3</v>
      </c>
      <c r="V107" s="759">
        <v>9.51</v>
      </c>
      <c r="W107" s="759">
        <v>9.99</v>
      </c>
      <c r="Y107" s="759">
        <f>+IF(R107=G107,0,1)</f>
        <v>1</v>
      </c>
      <c r="Z107" s="759">
        <f>+IF(S107=H107,0,1)</f>
        <v>1</v>
      </c>
      <c r="AA107" s="759">
        <f>+IF(T107=I107,0,1)</f>
        <v>1</v>
      </c>
      <c r="AB107" s="759">
        <f>+IF(U107=J107,0,1)</f>
        <v>1</v>
      </c>
      <c r="AC107" s="759">
        <f aca="true" t="shared" si="24" ref="AC107:AD109">+IF(V107=K107,0,1)</f>
        <v>1</v>
      </c>
      <c r="AD107" s="759">
        <f t="shared" si="24"/>
        <v>1</v>
      </c>
    </row>
    <row r="108" spans="2:30" ht="12.75">
      <c r="B108" s="643"/>
      <c r="C108" s="643"/>
      <c r="D108" s="650" t="s">
        <v>43</v>
      </c>
      <c r="E108" s="641" t="s">
        <v>44</v>
      </c>
      <c r="F108" s="803" t="s">
        <v>291</v>
      </c>
      <c r="G108" s="849">
        <f>'Resolución 137-2019-OS_CD'!G365*Factores!$B$18</f>
        <v>12.762686999999998</v>
      </c>
      <c r="H108" s="849">
        <f>'Resolución 137-2019-OS_CD'!H365*Factores!$B$18</f>
        <v>12.737881</v>
      </c>
      <c r="I108" s="849">
        <f>'Resolución 137-2019-OS_CD'!I365*Factores!$B$18</f>
        <v>12.762686999999998</v>
      </c>
      <c r="J108" s="849">
        <f>'Resolución 137-2019-OS_CD'!J365*Factores!$B$18</f>
        <v>12.737881</v>
      </c>
      <c r="K108" s="849">
        <f>'Resolución 137-2019-OS_CD'!K365*Factores!$B$18</f>
        <v>13.345628</v>
      </c>
      <c r="L108" s="849">
        <f>'Resolución 137-2019-OS_CD'!L365*Factores!$B$18</f>
        <v>13.618494</v>
      </c>
      <c r="M108" s="762"/>
      <c r="N108" s="762"/>
      <c r="O108" s="762"/>
      <c r="P108" s="762"/>
      <c r="R108" s="759">
        <v>9.04</v>
      </c>
      <c r="S108" s="759">
        <v>9.3</v>
      </c>
      <c r="T108" s="759">
        <v>9.04</v>
      </c>
      <c r="U108" s="759">
        <v>9.3</v>
      </c>
      <c r="V108" s="759">
        <v>9.51</v>
      </c>
      <c r="W108" s="759">
        <v>9.99</v>
      </c>
      <c r="Y108" s="759">
        <f>+IF(R108=G108,0,1)</f>
        <v>1</v>
      </c>
      <c r="Z108" s="759">
        <f>+IF(S108=H108,0,1)</f>
        <v>1</v>
      </c>
      <c r="AA108" s="759">
        <f>+IF(T108=I108,0,1)</f>
        <v>1</v>
      </c>
      <c r="AB108" s="759">
        <f>+IF(U108=J108,0,1)</f>
        <v>1</v>
      </c>
      <c r="AC108" s="759">
        <f t="shared" si="24"/>
        <v>1</v>
      </c>
      <c r="AD108" s="759">
        <f t="shared" si="24"/>
        <v>1</v>
      </c>
    </row>
    <row r="109" spans="2:30" ht="12.75" customHeight="1">
      <c r="B109" s="643"/>
      <c r="C109" s="643"/>
      <c r="D109" s="687" t="s">
        <v>45</v>
      </c>
      <c r="E109" s="641" t="s">
        <v>46</v>
      </c>
      <c r="F109" s="803" t="s">
        <v>291</v>
      </c>
      <c r="G109" s="849">
        <f>'Resolución 137-2019-OS_CD'!G366*Factores!$B$18</f>
        <v>12.762686999999998</v>
      </c>
      <c r="H109" s="849">
        <f>'Resolución 137-2019-OS_CD'!H366*Factores!$B$18</f>
        <v>12.737881</v>
      </c>
      <c r="I109" s="849">
        <f>'Resolución 137-2019-OS_CD'!I366*Factores!$B$18</f>
        <v>12.762686999999998</v>
      </c>
      <c r="J109" s="849">
        <f>'Resolución 137-2019-OS_CD'!J366*Factores!$B$18</f>
        <v>12.737881</v>
      </c>
      <c r="K109" s="849">
        <f>'Resolución 137-2019-OS_CD'!K366*Factores!$B$18</f>
        <v>13.345628</v>
      </c>
      <c r="L109" s="849">
        <f>'Resolución 137-2019-OS_CD'!L366*Factores!$B$18</f>
        <v>13.618494</v>
      </c>
      <c r="M109" s="762"/>
      <c r="N109" s="762"/>
      <c r="O109" s="762"/>
      <c r="P109" s="762"/>
      <c r="R109" s="759">
        <v>9.04</v>
      </c>
      <c r="S109" s="759">
        <v>9.3</v>
      </c>
      <c r="T109" s="759">
        <v>9.04</v>
      </c>
      <c r="U109" s="759">
        <v>9.3</v>
      </c>
      <c r="V109" s="759">
        <v>9.51</v>
      </c>
      <c r="W109" s="759">
        <v>9.99</v>
      </c>
      <c r="Y109" s="759">
        <f>+IF(R109=G109,0,1)</f>
        <v>1</v>
      </c>
      <c r="Z109" s="759">
        <f>+IF(S109=H109,0,1)</f>
        <v>1</v>
      </c>
      <c r="AA109" s="759">
        <f>+IF(T109=I109,0,1)</f>
        <v>1</v>
      </c>
      <c r="AB109" s="759">
        <f>+IF(U109=J109,0,1)</f>
        <v>1</v>
      </c>
      <c r="AC109" s="759">
        <f t="shared" si="24"/>
        <v>1</v>
      </c>
      <c r="AD109" s="759">
        <f t="shared" si="24"/>
        <v>1</v>
      </c>
    </row>
    <row r="110" spans="2:31" ht="12.75" customHeight="1">
      <c r="B110" s="797"/>
      <c r="C110" s="797"/>
      <c r="D110" s="688" t="s">
        <v>177</v>
      </c>
      <c r="E110" s="666" t="s">
        <v>176</v>
      </c>
      <c r="F110" s="803" t="s">
        <v>291</v>
      </c>
      <c r="G110" s="849">
        <f>'Resolución 137-2019-OS_CD'!G367*Factores!$B$18</f>
        <v>13.345628</v>
      </c>
      <c r="H110" s="849">
        <f>'Resolución 137-2019-OS_CD'!H367*Factores!$B$18</f>
        <v>13.618494</v>
      </c>
      <c r="I110" s="849">
        <f>'Resolución 137-2019-OS_CD'!I367*Factores!$B$18</f>
        <v>13.345628</v>
      </c>
      <c r="J110" s="849">
        <f>'Resolución 137-2019-OS_CD'!J367*Factores!$B$18</f>
        <v>13.618494</v>
      </c>
      <c r="K110" s="849">
        <f>'Resolución 137-2019-OS_CD'!K367*Factores!$B$18</f>
        <v>14.226241</v>
      </c>
      <c r="L110" s="849">
        <f>'Resolución 137-2019-OS_CD'!L367*Factores!$B$18</f>
        <v>14.251047</v>
      </c>
      <c r="M110" s="762"/>
      <c r="N110" s="762"/>
      <c r="O110" s="762"/>
      <c r="P110" s="762"/>
      <c r="R110" s="759">
        <v>9.51</v>
      </c>
      <c r="S110" s="759">
        <v>9.99</v>
      </c>
      <c r="T110" s="759">
        <v>9.51</v>
      </c>
      <c r="U110" s="759">
        <v>9.99</v>
      </c>
      <c r="V110" s="759">
        <v>10.2</v>
      </c>
      <c r="W110" s="759">
        <v>10.48</v>
      </c>
      <c r="Y110" s="759">
        <f>+IF(R110=G110,0,1)</f>
        <v>1</v>
      </c>
      <c r="Z110" s="759">
        <f>+IF(S110=H110,0,1)</f>
        <v>1</v>
      </c>
      <c r="AA110" s="759">
        <f>+IF(T110=I110,0,1)</f>
        <v>1</v>
      </c>
      <c r="AB110" s="759">
        <f>+IF(U110=J110,0,1)</f>
        <v>1</v>
      </c>
      <c r="AC110" s="759">
        <f>+IF(V110=K110,0,1)</f>
        <v>1</v>
      </c>
      <c r="AD110" s="759">
        <f>+IF(W110=L110,0,1)</f>
        <v>1</v>
      </c>
      <c r="AE110" s="804">
        <f>+SUM(Y106:AD110)</f>
        <v>30</v>
      </c>
    </row>
  </sheetData>
  <sheetProtection/>
  <mergeCells count="16">
    <mergeCell ref="M55:N55"/>
    <mergeCell ref="O55:P55"/>
    <mergeCell ref="M76:N76"/>
    <mergeCell ref="I7:J7"/>
    <mergeCell ref="K7:L7"/>
    <mergeCell ref="M7:N7"/>
    <mergeCell ref="O7:P7"/>
    <mergeCell ref="M39:N39"/>
    <mergeCell ref="G39:H39"/>
    <mergeCell ref="I39:J39"/>
    <mergeCell ref="K39:L39"/>
    <mergeCell ref="G76:H76"/>
    <mergeCell ref="I76:J76"/>
    <mergeCell ref="K76:L76"/>
    <mergeCell ref="I55:J55"/>
    <mergeCell ref="K55:L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5"/>
  <sheetViews>
    <sheetView showGridLines="0" zoomScale="90" zoomScaleNormal="90" zoomScalePageLayoutView="0" workbookViewId="0" topLeftCell="A1">
      <selection activeCell="BV33" sqref="BV33"/>
    </sheetView>
  </sheetViews>
  <sheetFormatPr defaultColWidth="11.421875" defaultRowHeight="12.75"/>
  <cols>
    <col min="1" max="1" width="2.00390625" style="761" customWidth="1"/>
    <col min="2" max="2" width="12.28125" style="759" hidden="1" customWidth="1"/>
    <col min="3" max="3" width="8.8515625" style="759" hidden="1" customWidth="1"/>
    <col min="4" max="4" width="8.57421875" style="759" hidden="1" customWidth="1"/>
    <col min="5" max="5" width="21.28125" style="759" hidden="1" customWidth="1"/>
    <col min="6" max="6" width="20.28125" style="759" hidden="1" customWidth="1"/>
    <col min="7" max="7" width="9.421875" style="759" hidden="1" customWidth="1"/>
    <col min="8" max="8" width="12.140625" style="759" hidden="1" customWidth="1"/>
    <col min="9" max="9" width="11.421875" style="759" hidden="1" customWidth="1"/>
    <col min="10" max="10" width="12.421875" style="759" hidden="1" customWidth="1"/>
    <col min="11" max="11" width="10.8515625" style="759" hidden="1" customWidth="1"/>
    <col min="12" max="12" width="12.421875" style="759" hidden="1" customWidth="1"/>
    <col min="13" max="13" width="13.421875" style="759" hidden="1" customWidth="1"/>
    <col min="14" max="14" width="12.57421875" style="759" hidden="1" customWidth="1"/>
    <col min="15" max="15" width="11.57421875" style="759" hidden="1" customWidth="1"/>
    <col min="16" max="16" width="12.28125" style="759" hidden="1" customWidth="1"/>
    <col min="17" max="61" width="11.421875" style="759" hidden="1" customWidth="1"/>
    <col min="62" max="62" width="8.8515625" style="759" hidden="1" customWidth="1"/>
    <col min="63" max="63" width="6.7109375" style="761" customWidth="1"/>
    <col min="64" max="64" width="23.7109375" style="761" customWidth="1"/>
    <col min="65" max="65" width="19.140625" style="761" customWidth="1"/>
    <col min="66" max="66" width="11.421875" style="761" customWidth="1"/>
    <col min="67" max="67" width="15.8515625" style="761" customWidth="1"/>
    <col min="68" max="68" width="12.8515625" style="761" customWidth="1"/>
    <col min="69" max="69" width="72.00390625" style="761" bestFit="1" customWidth="1"/>
    <col min="70" max="70" width="24.8515625" style="761" bestFit="1" customWidth="1"/>
    <col min="71" max="71" width="9.140625" style="761" customWidth="1"/>
    <col min="72" max="16384" width="11.421875" style="761" customWidth="1"/>
  </cols>
  <sheetData>
    <row r="1" spans="2:64" ht="12.75">
      <c r="B1" s="758"/>
      <c r="BK1" s="760"/>
      <c r="BL1" s="760"/>
    </row>
    <row r="2" spans="2:64" ht="21">
      <c r="B2" s="521" t="s">
        <v>413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BK2" s="521" t="s">
        <v>413</v>
      </c>
      <c r="BL2" s="760"/>
    </row>
    <row r="3" spans="2:64" ht="18.75">
      <c r="B3" s="522" t="str">
        <f>+'(3) Reposición'!B3</f>
        <v>Resolución Osinergmin N° 137-2019-OS/CD modificado por Resolución Osinergmin N° 176-2019 OS/CD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BK3" s="522" t="str">
        <f>B3</f>
        <v>Resolución Osinergmin N° 137-2019-OS/CD modificado por Resolución Osinergmin N° 176-2019 OS/CD</v>
      </c>
      <c r="BL3" s="760"/>
    </row>
    <row r="4" spans="2:64" ht="18.75">
      <c r="B4" s="522" t="str">
        <f>+Factores!A2</f>
        <v>Vigente a partir del 04/Nov/2022</v>
      </c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BK4" s="522" t="str">
        <f>B4</f>
        <v>Vigente a partir del 04/Nov/2022</v>
      </c>
      <c r="BL4" s="760"/>
    </row>
    <row r="5" spans="2:64" ht="12.75">
      <c r="B5" s="523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BK5" s="760"/>
      <c r="BL5" s="760"/>
    </row>
    <row r="6" spans="2:64" ht="15.75">
      <c r="B6" s="523"/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BK6" s="632" t="s">
        <v>458</v>
      </c>
      <c r="BL6" s="760"/>
    </row>
    <row r="7" spans="2:16" ht="15.75">
      <c r="B7" s="632" t="s">
        <v>414</v>
      </c>
      <c r="C7" s="762"/>
      <c r="D7" s="633"/>
      <c r="E7" s="633"/>
      <c r="F7" s="633"/>
      <c r="G7" s="633"/>
      <c r="H7" s="633"/>
      <c r="I7" s="633"/>
      <c r="J7" s="762"/>
      <c r="K7" s="762"/>
      <c r="L7" s="762"/>
      <c r="M7" s="762"/>
      <c r="N7" s="762"/>
      <c r="O7" s="762"/>
      <c r="P7" s="762"/>
    </row>
    <row r="8" spans="2:71" ht="12.75">
      <c r="B8" s="762"/>
      <c r="C8" s="762"/>
      <c r="D8" s="762"/>
      <c r="E8" s="762"/>
      <c r="F8" s="762"/>
      <c r="G8" s="762"/>
      <c r="H8" s="762"/>
      <c r="I8" s="978" t="s">
        <v>307</v>
      </c>
      <c r="J8" s="979"/>
      <c r="K8" s="978" t="s">
        <v>308</v>
      </c>
      <c r="L8" s="979"/>
      <c r="M8" s="978" t="s">
        <v>309</v>
      </c>
      <c r="N8" s="979"/>
      <c r="O8" s="978" t="s">
        <v>310</v>
      </c>
      <c r="P8" s="979"/>
      <c r="BK8" s="763" t="s">
        <v>3</v>
      </c>
      <c r="BL8" s="763" t="s">
        <v>4</v>
      </c>
      <c r="BM8" s="763" t="s">
        <v>5</v>
      </c>
      <c r="BN8" s="763" t="s">
        <v>6</v>
      </c>
      <c r="BO8" s="763" t="s">
        <v>7</v>
      </c>
      <c r="BP8" s="763" t="s">
        <v>47</v>
      </c>
      <c r="BQ8" s="763" t="s">
        <v>48</v>
      </c>
      <c r="BR8" s="763" t="s">
        <v>49</v>
      </c>
      <c r="BS8" s="763" t="s">
        <v>93</v>
      </c>
    </row>
    <row r="9" spans="2:71" ht="12.75">
      <c r="B9" s="635" t="s">
        <v>6</v>
      </c>
      <c r="C9" s="636" t="s">
        <v>3</v>
      </c>
      <c r="D9" s="635" t="s">
        <v>4</v>
      </c>
      <c r="E9" s="635" t="s">
        <v>7</v>
      </c>
      <c r="F9" s="635" t="s">
        <v>49</v>
      </c>
      <c r="G9" s="635" t="s">
        <v>1</v>
      </c>
      <c r="H9" s="635" t="s">
        <v>2</v>
      </c>
      <c r="I9" s="635" t="s">
        <v>1</v>
      </c>
      <c r="J9" s="635" t="s">
        <v>2</v>
      </c>
      <c r="K9" s="635" t="s">
        <v>1</v>
      </c>
      <c r="L9" s="635" t="s">
        <v>2</v>
      </c>
      <c r="M9" s="635" t="s">
        <v>1</v>
      </c>
      <c r="N9" s="635" t="s">
        <v>2</v>
      </c>
      <c r="O9" s="635" t="s">
        <v>1</v>
      </c>
      <c r="P9" s="635" t="s">
        <v>2</v>
      </c>
      <c r="BK9" s="764"/>
      <c r="BL9" s="764"/>
      <c r="BM9" s="764" t="s">
        <v>8</v>
      </c>
      <c r="BN9" s="764"/>
      <c r="BO9" s="764" t="s">
        <v>86</v>
      </c>
      <c r="BP9" s="764"/>
      <c r="BQ9" s="764"/>
      <c r="BR9" s="764" t="s">
        <v>51</v>
      </c>
      <c r="BS9" s="764" t="s">
        <v>129</v>
      </c>
    </row>
    <row r="10" spans="2:71" ht="12.75">
      <c r="B10" s="637"/>
      <c r="C10" s="638"/>
      <c r="D10" s="637"/>
      <c r="E10" s="637" t="s">
        <v>86</v>
      </c>
      <c r="F10" s="637" t="s">
        <v>304</v>
      </c>
      <c r="G10" s="639" t="s">
        <v>274</v>
      </c>
      <c r="H10" s="637" t="s">
        <v>275</v>
      </c>
      <c r="I10" s="639" t="s">
        <v>274</v>
      </c>
      <c r="J10" s="637" t="s">
        <v>275</v>
      </c>
      <c r="K10" s="639" t="s">
        <v>274</v>
      </c>
      <c r="L10" s="637" t="s">
        <v>275</v>
      </c>
      <c r="M10" s="639" t="s">
        <v>274</v>
      </c>
      <c r="N10" s="637" t="s">
        <v>275</v>
      </c>
      <c r="O10" s="639" t="s">
        <v>274</v>
      </c>
      <c r="P10" s="637" t="s">
        <v>275</v>
      </c>
      <c r="BK10" s="765" t="s">
        <v>9</v>
      </c>
      <c r="BL10" s="766" t="s">
        <v>52</v>
      </c>
      <c r="BM10" s="765" t="s">
        <v>53</v>
      </c>
      <c r="BN10" s="767" t="s">
        <v>11</v>
      </c>
      <c r="BO10" s="768" t="s">
        <v>19</v>
      </c>
      <c r="BP10" s="765" t="s">
        <v>54</v>
      </c>
      <c r="BQ10" s="769" t="s">
        <v>55</v>
      </c>
      <c r="BR10" s="769" t="s">
        <v>56</v>
      </c>
      <c r="BS10" s="770">
        <f>'(4)MantenimientoyCambiodeconex'!BS9*1.12</f>
        <v>0.7643944</v>
      </c>
    </row>
    <row r="11" spans="2:71" ht="12.75">
      <c r="B11" s="640" t="s">
        <v>11</v>
      </c>
      <c r="C11" s="650" t="s">
        <v>9</v>
      </c>
      <c r="D11" s="640" t="s">
        <v>10</v>
      </c>
      <c r="E11" s="641" t="s">
        <v>12</v>
      </c>
      <c r="F11" s="642" t="s">
        <v>63</v>
      </c>
      <c r="G11" s="849">
        <f>+'(4)MantenimientoyCambiodeconex'!G10*1.12</f>
        <v>1.62607536</v>
      </c>
      <c r="H11" s="849">
        <f>+'(4)MantenimientoyCambiodeconex'!H10*1.12</f>
        <v>1.50099264</v>
      </c>
      <c r="I11" s="850"/>
      <c r="J11" s="850"/>
      <c r="K11" s="850"/>
      <c r="L11" s="850"/>
      <c r="M11" s="850"/>
      <c r="N11" s="850"/>
      <c r="O11" s="850"/>
      <c r="P11" s="850"/>
      <c r="R11" s="759">
        <f>+G11/'(4)MantenimientoyCambiodeconex'!G10</f>
        <v>1.12</v>
      </c>
      <c r="S11" s="759">
        <f>+H11/'(4)MantenimientoyCambiodeconex'!H10</f>
        <v>1.12</v>
      </c>
      <c r="T11" s="759" t="e">
        <f>+I11/'(4)MantenimientoyCambiodeconex'!I10</f>
        <v>#DIV/0!</v>
      </c>
      <c r="U11" s="759" t="e">
        <f>+J11/'(4)MantenimientoyCambiodeconex'!J10</f>
        <v>#DIV/0!</v>
      </c>
      <c r="V11" s="759" t="e">
        <f>+K11/'(4)MantenimientoyCambiodeconex'!K10</f>
        <v>#DIV/0!</v>
      </c>
      <c r="W11" s="759" t="e">
        <f>+L11/'(4)MantenimientoyCambiodeconex'!L10</f>
        <v>#DIV/0!</v>
      </c>
      <c r="X11" s="759" t="e">
        <f>+M11/'(4)MantenimientoyCambiodeconex'!M10</f>
        <v>#DIV/0!</v>
      </c>
      <c r="Y11" s="759" t="e">
        <f>+N11/'(4)MantenimientoyCambiodeconex'!N10</f>
        <v>#DIV/0!</v>
      </c>
      <c r="Z11" s="759" t="e">
        <f>+O11/'(4)MantenimientoyCambiodeconex'!O10</f>
        <v>#DIV/0!</v>
      </c>
      <c r="AA11" s="759" t="e">
        <f>+P11/'(4)MantenimientoyCambiodeconex'!P10</f>
        <v>#DIV/0!</v>
      </c>
      <c r="AC11" s="759">
        <f>+IF(R11=G11,0,1)</f>
        <v>1</v>
      </c>
      <c r="AD11" s="759">
        <f aca="true" t="shared" si="0" ref="AD11:AN26">+IF(S11=H11,0,1)</f>
        <v>1</v>
      </c>
      <c r="AE11" s="759" t="e">
        <f t="shared" si="0"/>
        <v>#DIV/0!</v>
      </c>
      <c r="AF11" s="759" t="e">
        <f t="shared" si="0"/>
        <v>#DIV/0!</v>
      </c>
      <c r="AG11" s="759" t="e">
        <f t="shared" si="0"/>
        <v>#DIV/0!</v>
      </c>
      <c r="AH11" s="759" t="e">
        <f t="shared" si="0"/>
        <v>#DIV/0!</v>
      </c>
      <c r="AI11" s="759" t="e">
        <f t="shared" si="0"/>
        <v>#DIV/0!</v>
      </c>
      <c r="AJ11" s="759" t="e">
        <f t="shared" si="0"/>
        <v>#DIV/0!</v>
      </c>
      <c r="AK11" s="759" t="e">
        <f t="shared" si="0"/>
        <v>#DIV/0!</v>
      </c>
      <c r="AL11" s="759" t="e">
        <f>+IF(AA11=P11,0,1)</f>
        <v>#DIV/0!</v>
      </c>
      <c r="AN11" s="759">
        <f t="shared" si="0"/>
        <v>1</v>
      </c>
      <c r="BK11" s="771"/>
      <c r="BM11" s="771"/>
      <c r="BO11" s="772"/>
      <c r="BP11" s="772"/>
      <c r="BQ11" s="769" t="s">
        <v>57</v>
      </c>
      <c r="BR11" s="769" t="s">
        <v>58</v>
      </c>
      <c r="BS11" s="770">
        <f>'(4)MantenimientoyCambiodeconex'!BS10*1.12</f>
        <v>0.98676368</v>
      </c>
    </row>
    <row r="12" spans="2:71" ht="12.75">
      <c r="B12" s="643"/>
      <c r="C12" s="644"/>
      <c r="D12" s="643"/>
      <c r="E12" s="645"/>
      <c r="F12" s="642" t="s">
        <v>87</v>
      </c>
      <c r="G12" s="849"/>
      <c r="H12" s="849"/>
      <c r="I12" s="849">
        <f>+'(4)MantenimientoyCambiodeconex'!I11*1.12</f>
        <v>1.20913296</v>
      </c>
      <c r="J12" s="849">
        <f>+'(4)MantenimientoyCambiodeconex'!J11*1.12</f>
        <v>1.08405024</v>
      </c>
      <c r="K12" s="849">
        <f>+'(4)MantenimientoyCambiodeconex'!K11*1.12</f>
        <v>1.2786233599999999</v>
      </c>
      <c r="L12" s="849">
        <f>+'(4)MantenimientoyCambiodeconex'!L11*1.12</f>
        <v>1.1535406400000001</v>
      </c>
      <c r="M12" s="849">
        <f>+'(4)MantenimientoyCambiodeconex'!M11*1.12</f>
        <v>1.50099264</v>
      </c>
      <c r="N12" s="849">
        <f>+'(4)MantenimientoyCambiodeconex'!N11*1.12</f>
        <v>1.3759099199999998</v>
      </c>
      <c r="O12" s="849">
        <f>+'(4)MantenimientoyCambiodeconex'!O11*1.12</f>
        <v>1.57048304</v>
      </c>
      <c r="P12" s="849">
        <f>+'(4)MantenimientoyCambiodeconex'!P11*1.12</f>
        <v>1.44540032</v>
      </c>
      <c r="R12" s="759" t="e">
        <f>+G12/'(4)MantenimientoyCambiodeconex'!G11</f>
        <v>#DIV/0!</v>
      </c>
      <c r="S12" s="759" t="e">
        <f>+H12/'(4)MantenimientoyCambiodeconex'!H11</f>
        <v>#DIV/0!</v>
      </c>
      <c r="T12" s="759">
        <f>+I12/'(4)MantenimientoyCambiodeconex'!I11</f>
        <v>1.12</v>
      </c>
      <c r="U12" s="759">
        <f>+J12/'(4)MantenimientoyCambiodeconex'!J11</f>
        <v>1.12</v>
      </c>
      <c r="V12" s="759">
        <f>+K12/'(4)MantenimientoyCambiodeconex'!K11</f>
        <v>1.12</v>
      </c>
      <c r="W12" s="759">
        <f>+L12/'(4)MantenimientoyCambiodeconex'!L11</f>
        <v>1.12</v>
      </c>
      <c r="X12" s="759">
        <f>+M12/'(4)MantenimientoyCambiodeconex'!M11</f>
        <v>1.12</v>
      </c>
      <c r="Y12" s="759">
        <f>+N12/'(4)MantenimientoyCambiodeconex'!N11</f>
        <v>1.12</v>
      </c>
      <c r="Z12" s="759">
        <f>+O12/'(4)MantenimientoyCambiodeconex'!O11</f>
        <v>1.12</v>
      </c>
      <c r="AA12" s="759">
        <f>+P12/'(4)MantenimientoyCambiodeconex'!P11</f>
        <v>1.12</v>
      </c>
      <c r="AC12" s="759" t="e">
        <f>+IF(R12=G12,0,1)</f>
        <v>#DIV/0!</v>
      </c>
      <c r="AD12" s="759" t="e">
        <f t="shared" si="0"/>
        <v>#DIV/0!</v>
      </c>
      <c r="AE12" s="759">
        <f t="shared" si="0"/>
        <v>1</v>
      </c>
      <c r="AF12" s="759">
        <f t="shared" si="0"/>
        <v>1</v>
      </c>
      <c r="AG12" s="759">
        <f t="shared" si="0"/>
        <v>1</v>
      </c>
      <c r="AH12" s="759">
        <f t="shared" si="0"/>
        <v>1</v>
      </c>
      <c r="AI12" s="759">
        <f t="shared" si="0"/>
        <v>1</v>
      </c>
      <c r="AJ12" s="759">
        <f t="shared" si="0"/>
        <v>1</v>
      </c>
      <c r="AK12" s="759">
        <f t="shared" si="0"/>
        <v>1</v>
      </c>
      <c r="AL12" s="759">
        <f t="shared" si="0"/>
        <v>1</v>
      </c>
      <c r="BK12" s="772"/>
      <c r="BL12" s="766"/>
      <c r="BM12" s="772"/>
      <c r="BN12" s="767"/>
      <c r="BO12" s="772"/>
      <c r="BP12" s="772"/>
      <c r="BQ12" s="773" t="s">
        <v>298</v>
      </c>
      <c r="BR12" s="774" t="s">
        <v>185</v>
      </c>
      <c r="BS12" s="770">
        <f>'(4)MantenimientoyCambiodeconex'!BS11*1.12</f>
        <v>1.20913296</v>
      </c>
    </row>
    <row r="13" spans="2:71" ht="12.75">
      <c r="B13" s="775"/>
      <c r="C13" s="762"/>
      <c r="D13" s="775"/>
      <c r="E13" s="775"/>
      <c r="F13" s="642" t="s">
        <v>270</v>
      </c>
      <c r="G13" s="849"/>
      <c r="H13" s="849"/>
      <c r="I13" s="849">
        <f>+'(4)MantenimientoyCambiodeconex'!I12*1.12</f>
        <v>1.44540032</v>
      </c>
      <c r="J13" s="849"/>
      <c r="K13" s="849">
        <f>+'(4)MantenimientoyCambiodeconex'!K12*1.12</f>
        <v>1.5287888</v>
      </c>
      <c r="L13" s="849"/>
      <c r="M13" s="849">
        <f>+'(4)MantenimientoyCambiodeconex'!M12*1.12</f>
        <v>1.8067504</v>
      </c>
      <c r="N13" s="849"/>
      <c r="O13" s="849">
        <f>+'(4)MantenimientoyCambiodeconex'!O12*1.12</f>
        <v>1.8901388800000003</v>
      </c>
      <c r="P13" s="849"/>
      <c r="R13" s="759" t="e">
        <f>+G13/'(4)MantenimientoyCambiodeconex'!G12</f>
        <v>#DIV/0!</v>
      </c>
      <c r="S13" s="759" t="e">
        <f>+H13/'(4)MantenimientoyCambiodeconex'!H12</f>
        <v>#DIV/0!</v>
      </c>
      <c r="T13" s="759">
        <f>+I13/'(4)MantenimientoyCambiodeconex'!I12</f>
        <v>1.12</v>
      </c>
      <c r="U13" s="759" t="e">
        <f>+J13/'(4)MantenimientoyCambiodeconex'!J12</f>
        <v>#DIV/0!</v>
      </c>
      <c r="V13" s="759">
        <f>+K13/'(4)MantenimientoyCambiodeconex'!K12</f>
        <v>1.12</v>
      </c>
      <c r="W13" s="759" t="e">
        <f>+L13/'(4)MantenimientoyCambiodeconex'!L12</f>
        <v>#DIV/0!</v>
      </c>
      <c r="X13" s="759">
        <f>+M13/'(4)MantenimientoyCambiodeconex'!M12</f>
        <v>1.12</v>
      </c>
      <c r="Y13" s="759" t="e">
        <f>+N13/'(4)MantenimientoyCambiodeconex'!N12</f>
        <v>#DIV/0!</v>
      </c>
      <c r="Z13" s="759">
        <f>+O13/'(4)MantenimientoyCambiodeconex'!O12</f>
        <v>1.12</v>
      </c>
      <c r="AA13" s="759" t="e">
        <f>+P13/'(4)MantenimientoyCambiodeconex'!P12</f>
        <v>#DIV/0!</v>
      </c>
      <c r="AC13" s="759" t="e">
        <f>+IF(R13=G13,0,1)</f>
        <v>#DIV/0!</v>
      </c>
      <c r="AD13" s="759" t="e">
        <f t="shared" si="0"/>
        <v>#DIV/0!</v>
      </c>
      <c r="AE13" s="759">
        <f t="shared" si="0"/>
        <v>1</v>
      </c>
      <c r="AF13" s="759" t="e">
        <f t="shared" si="0"/>
        <v>#DIV/0!</v>
      </c>
      <c r="AG13" s="759">
        <f t="shared" si="0"/>
        <v>1</v>
      </c>
      <c r="AH13" s="759" t="e">
        <f t="shared" si="0"/>
        <v>#DIV/0!</v>
      </c>
      <c r="AI13" s="759">
        <f t="shared" si="0"/>
        <v>1</v>
      </c>
      <c r="AJ13" s="759" t="e">
        <f t="shared" si="0"/>
        <v>#DIV/0!</v>
      </c>
      <c r="AK13" s="759">
        <f t="shared" si="0"/>
        <v>1</v>
      </c>
      <c r="AL13" s="759" t="e">
        <f t="shared" si="0"/>
        <v>#DIV/0!</v>
      </c>
      <c r="BK13" s="772"/>
      <c r="BL13" s="766"/>
      <c r="BM13" s="772"/>
      <c r="BN13" s="767"/>
      <c r="BO13" s="772"/>
      <c r="BP13" s="772"/>
      <c r="BQ13" s="773" t="s">
        <v>299</v>
      </c>
      <c r="BR13" s="774" t="s">
        <v>185</v>
      </c>
      <c r="BS13" s="770">
        <f>'(4)MantenimientoyCambiodeconex'!BS12*1.12</f>
        <v>1.2786233599999999</v>
      </c>
    </row>
    <row r="14" spans="2:71" ht="12.75">
      <c r="B14" s="643"/>
      <c r="C14" s="644"/>
      <c r="D14" s="643"/>
      <c r="E14" s="645"/>
      <c r="F14" s="642" t="s">
        <v>88</v>
      </c>
      <c r="G14" s="849"/>
      <c r="H14" s="849"/>
      <c r="I14" s="849">
        <f>+'(4)MantenimientoyCambiodeconex'!I13*1.12</f>
        <v>1.20913296</v>
      </c>
      <c r="J14" s="849">
        <f>+'(4)MantenimientoyCambiodeconex'!J13*1.12</f>
        <v>1.08405024</v>
      </c>
      <c r="K14" s="849">
        <f>+'(4)MantenimientoyCambiodeconex'!K13*1.12</f>
        <v>1.2786233599999999</v>
      </c>
      <c r="L14" s="849">
        <f>+'(4)MantenimientoyCambiodeconex'!L13*1.12</f>
        <v>1.1535406400000001</v>
      </c>
      <c r="M14" s="849">
        <f>+'(4)MantenimientoyCambiodeconex'!M13*1.12</f>
        <v>1.50099264</v>
      </c>
      <c r="N14" s="849">
        <f>+'(4)MantenimientoyCambiodeconex'!N13*1.12</f>
        <v>1.3759099199999998</v>
      </c>
      <c r="O14" s="849">
        <f>+'(4)MantenimientoyCambiodeconex'!O13*1.12</f>
        <v>1.57048304</v>
      </c>
      <c r="P14" s="849">
        <f>+'(4)MantenimientoyCambiodeconex'!P13*1.12</f>
        <v>1.44540032</v>
      </c>
      <c r="R14" s="759" t="e">
        <f>+G14/'(4)MantenimientoyCambiodeconex'!G13</f>
        <v>#DIV/0!</v>
      </c>
      <c r="S14" s="759" t="e">
        <f>+H14/'(4)MantenimientoyCambiodeconex'!H13</f>
        <v>#DIV/0!</v>
      </c>
      <c r="T14" s="759">
        <f>+I14/'(4)MantenimientoyCambiodeconex'!I13</f>
        <v>1.12</v>
      </c>
      <c r="U14" s="759">
        <f>+J14/'(4)MantenimientoyCambiodeconex'!J13</f>
        <v>1.12</v>
      </c>
      <c r="V14" s="759">
        <f>+K14/'(4)MantenimientoyCambiodeconex'!K13</f>
        <v>1.12</v>
      </c>
      <c r="W14" s="759">
        <f>+L14/'(4)MantenimientoyCambiodeconex'!L13</f>
        <v>1.12</v>
      </c>
      <c r="X14" s="759">
        <f>+M14/'(4)MantenimientoyCambiodeconex'!M13</f>
        <v>1.12</v>
      </c>
      <c r="Y14" s="759">
        <f>+N14/'(4)MantenimientoyCambiodeconex'!N13</f>
        <v>1.12</v>
      </c>
      <c r="Z14" s="759">
        <f>+O14/'(4)MantenimientoyCambiodeconex'!O13</f>
        <v>1.12</v>
      </c>
      <c r="AA14" s="759">
        <f>+P14/'(4)MantenimientoyCambiodeconex'!P13</f>
        <v>1.12</v>
      </c>
      <c r="AC14" s="759" t="e">
        <f>+IF(R14=G14,0,1)</f>
        <v>#DIV/0!</v>
      </c>
      <c r="AD14" s="759" t="e">
        <f t="shared" si="0"/>
        <v>#DIV/0!</v>
      </c>
      <c r="AE14" s="759">
        <f t="shared" si="0"/>
        <v>1</v>
      </c>
      <c r="AF14" s="759">
        <f t="shared" si="0"/>
        <v>1</v>
      </c>
      <c r="AG14" s="759">
        <f t="shared" si="0"/>
        <v>1</v>
      </c>
      <c r="AH14" s="759">
        <f t="shared" si="0"/>
        <v>1</v>
      </c>
      <c r="AI14" s="759">
        <f t="shared" si="0"/>
        <v>1</v>
      </c>
      <c r="AJ14" s="759">
        <f t="shared" si="0"/>
        <v>1</v>
      </c>
      <c r="AK14" s="759">
        <f t="shared" si="0"/>
        <v>1</v>
      </c>
      <c r="AL14" s="759">
        <f t="shared" si="0"/>
        <v>1</v>
      </c>
      <c r="BK14" s="772"/>
      <c r="BL14" s="766"/>
      <c r="BM14" s="772"/>
      <c r="BN14" s="767"/>
      <c r="BO14" s="772"/>
      <c r="BP14" s="772"/>
      <c r="BQ14" s="773" t="s">
        <v>301</v>
      </c>
      <c r="BR14" s="774" t="s">
        <v>185</v>
      </c>
      <c r="BS14" s="770">
        <f>'(4)MantenimientoyCambiodeconex'!BS13*1.12</f>
        <v>1.50099264</v>
      </c>
    </row>
    <row r="15" spans="2:71" ht="12.75">
      <c r="B15" s="775"/>
      <c r="C15" s="762"/>
      <c r="D15" s="775"/>
      <c r="E15" s="775"/>
      <c r="F15" s="642" t="s">
        <v>271</v>
      </c>
      <c r="G15" s="849"/>
      <c r="H15" s="849"/>
      <c r="I15" s="849">
        <f>+'(4)MantenimientoyCambiodeconex'!I14*1.12</f>
        <v>1.44540032</v>
      </c>
      <c r="J15" s="849"/>
      <c r="K15" s="849">
        <f>+'(4)MantenimientoyCambiodeconex'!K14*1.12</f>
        <v>1.5287888</v>
      </c>
      <c r="L15" s="849"/>
      <c r="M15" s="849">
        <f>+'(4)MantenimientoyCambiodeconex'!M14*1.12</f>
        <v>1.8067504</v>
      </c>
      <c r="N15" s="849"/>
      <c r="O15" s="849">
        <f>+'(4)MantenimientoyCambiodeconex'!O14*1.12</f>
        <v>1.8901388800000003</v>
      </c>
      <c r="P15" s="849"/>
      <c r="R15" s="759" t="e">
        <f>+G15/'(4)MantenimientoyCambiodeconex'!G14</f>
        <v>#DIV/0!</v>
      </c>
      <c r="S15" s="759" t="e">
        <f>+H15/'(4)MantenimientoyCambiodeconex'!H14</f>
        <v>#DIV/0!</v>
      </c>
      <c r="T15" s="759">
        <f>+I15/'(4)MantenimientoyCambiodeconex'!I14</f>
        <v>1.12</v>
      </c>
      <c r="U15" s="759" t="e">
        <f>+J15/'(4)MantenimientoyCambiodeconex'!J14</f>
        <v>#DIV/0!</v>
      </c>
      <c r="V15" s="759">
        <f>+K15/'(4)MantenimientoyCambiodeconex'!K14</f>
        <v>1.12</v>
      </c>
      <c r="W15" s="759" t="e">
        <f>+L15/'(4)MantenimientoyCambiodeconex'!L14</f>
        <v>#DIV/0!</v>
      </c>
      <c r="X15" s="759">
        <f>+M15/'(4)MantenimientoyCambiodeconex'!M14</f>
        <v>1.12</v>
      </c>
      <c r="Y15" s="759" t="e">
        <f>+N15/'(4)MantenimientoyCambiodeconex'!N14</f>
        <v>#DIV/0!</v>
      </c>
      <c r="Z15" s="759">
        <f>+O15/'(4)MantenimientoyCambiodeconex'!O14</f>
        <v>1.12</v>
      </c>
      <c r="AA15" s="759" t="e">
        <f>+P15/'(4)MantenimientoyCambiodeconex'!P14</f>
        <v>#DIV/0!</v>
      </c>
      <c r="AC15" s="759" t="e">
        <f>+IF(R15=G15,0,1)</f>
        <v>#DIV/0!</v>
      </c>
      <c r="AD15" s="759" t="e">
        <f t="shared" si="0"/>
        <v>#DIV/0!</v>
      </c>
      <c r="AE15" s="759">
        <f t="shared" si="0"/>
        <v>1</v>
      </c>
      <c r="AF15" s="759" t="e">
        <f t="shared" si="0"/>
        <v>#DIV/0!</v>
      </c>
      <c r="AG15" s="759">
        <f t="shared" si="0"/>
        <v>1</v>
      </c>
      <c r="AH15" s="759" t="e">
        <f t="shared" si="0"/>
        <v>#DIV/0!</v>
      </c>
      <c r="AI15" s="759">
        <f t="shared" si="0"/>
        <v>1</v>
      </c>
      <c r="AJ15" s="759" t="e">
        <f t="shared" si="0"/>
        <v>#DIV/0!</v>
      </c>
      <c r="AK15" s="759">
        <f t="shared" si="0"/>
        <v>1</v>
      </c>
      <c r="AL15" s="759" t="e">
        <f t="shared" si="0"/>
        <v>#DIV/0!</v>
      </c>
      <c r="BK15" s="772"/>
      <c r="BL15" s="766"/>
      <c r="BM15" s="772"/>
      <c r="BN15" s="767"/>
      <c r="BO15" s="772"/>
      <c r="BP15" s="772"/>
      <c r="BQ15" s="773" t="s">
        <v>300</v>
      </c>
      <c r="BR15" s="774" t="s">
        <v>185</v>
      </c>
      <c r="BS15" s="770">
        <f>'(4)MantenimientoyCambiodeconex'!BS14*1.12</f>
        <v>1.57048304</v>
      </c>
    </row>
    <row r="16" spans="2:71" ht="12.75">
      <c r="B16" s="643"/>
      <c r="C16" s="644"/>
      <c r="D16" s="647"/>
      <c r="E16" s="737"/>
      <c r="F16" s="642" t="s">
        <v>56</v>
      </c>
      <c r="G16" s="849">
        <f>+'(4)MantenimientoyCambiodeconex'!G15*1.12</f>
        <v>0.7643944</v>
      </c>
      <c r="H16" s="849">
        <f>+'(4)MantenimientoyCambiodeconex'!H15*1.12</f>
        <v>0.6393116799999999</v>
      </c>
      <c r="I16" s="850"/>
      <c r="J16" s="850"/>
      <c r="K16" s="850"/>
      <c r="L16" s="850"/>
      <c r="M16" s="850"/>
      <c r="N16" s="850"/>
      <c r="O16" s="850"/>
      <c r="P16" s="850"/>
      <c r="R16" s="759">
        <f>+G16/'(4)MantenimientoyCambiodeconex'!G15</f>
        <v>1.12</v>
      </c>
      <c r="S16" s="759">
        <f>+H16/'(4)MantenimientoyCambiodeconex'!H15</f>
        <v>1.12</v>
      </c>
      <c r="T16" s="759" t="e">
        <f>+I16/'(4)MantenimientoyCambiodeconex'!I15</f>
        <v>#DIV/0!</v>
      </c>
      <c r="U16" s="759" t="e">
        <f>+J16/'(4)MantenimientoyCambiodeconex'!J15</f>
        <v>#DIV/0!</v>
      </c>
      <c r="V16" s="759" t="e">
        <f>+K16/'(4)MantenimientoyCambiodeconex'!K15</f>
        <v>#DIV/0!</v>
      </c>
      <c r="W16" s="759" t="e">
        <f>+L16/'(4)MantenimientoyCambiodeconex'!L15</f>
        <v>#DIV/0!</v>
      </c>
      <c r="X16" s="759" t="e">
        <f>+M16/'(4)MantenimientoyCambiodeconex'!M15</f>
        <v>#DIV/0!</v>
      </c>
      <c r="Y16" s="759" t="e">
        <f>+N16/'(4)MantenimientoyCambiodeconex'!N15</f>
        <v>#DIV/0!</v>
      </c>
      <c r="Z16" s="759" t="e">
        <f>+O16/'(4)MantenimientoyCambiodeconex'!O15</f>
        <v>#DIV/0!</v>
      </c>
      <c r="AA16" s="759" t="e">
        <f>+P16/'(4)MantenimientoyCambiodeconex'!P15</f>
        <v>#DIV/0!</v>
      </c>
      <c r="AC16" s="759">
        <f>+IF(R16=G16,0,1)</f>
        <v>1</v>
      </c>
      <c r="AD16" s="759">
        <f t="shared" si="0"/>
        <v>1</v>
      </c>
      <c r="AE16" s="759" t="e">
        <f t="shared" si="0"/>
        <v>#DIV/0!</v>
      </c>
      <c r="AF16" s="759" t="e">
        <f t="shared" si="0"/>
        <v>#DIV/0!</v>
      </c>
      <c r="AG16" s="759" t="e">
        <f t="shared" si="0"/>
        <v>#DIV/0!</v>
      </c>
      <c r="AH16" s="759" t="e">
        <f t="shared" si="0"/>
        <v>#DIV/0!</v>
      </c>
      <c r="AI16" s="759" t="e">
        <f t="shared" si="0"/>
        <v>#DIV/0!</v>
      </c>
      <c r="AJ16" s="759" t="e">
        <f t="shared" si="0"/>
        <v>#DIV/0!</v>
      </c>
      <c r="AK16" s="759" t="e">
        <f t="shared" si="0"/>
        <v>#DIV/0!</v>
      </c>
      <c r="AL16" s="759" t="e">
        <f t="shared" si="0"/>
        <v>#DIV/0!</v>
      </c>
      <c r="BK16" s="772"/>
      <c r="BL16" s="766"/>
      <c r="BM16" s="772"/>
      <c r="BN16" s="767"/>
      <c r="BO16" s="772"/>
      <c r="BP16" s="776"/>
      <c r="BQ16" s="769" t="s">
        <v>62</v>
      </c>
      <c r="BR16" s="769" t="s">
        <v>63</v>
      </c>
      <c r="BS16" s="770">
        <f>'(4)MantenimientoyCambiodeconex'!BS15*1.12</f>
        <v>1.62607536</v>
      </c>
    </row>
    <row r="17" spans="2:71" ht="12.75">
      <c r="B17" s="643"/>
      <c r="C17" s="644"/>
      <c r="D17" s="640" t="s">
        <v>14</v>
      </c>
      <c r="E17" s="641" t="s">
        <v>15</v>
      </c>
      <c r="F17" s="642" t="s">
        <v>63</v>
      </c>
      <c r="G17" s="849">
        <f>+'(4)MantenimientoyCambiodeconex'!G16*1.12</f>
        <v>1.62607536</v>
      </c>
      <c r="H17" s="849">
        <f>+'(4)MantenimientoyCambiodeconex'!H16*1.12</f>
        <v>1.50099264</v>
      </c>
      <c r="I17" s="850"/>
      <c r="J17" s="850"/>
      <c r="K17" s="850"/>
      <c r="L17" s="850"/>
      <c r="M17" s="850"/>
      <c r="N17" s="850"/>
      <c r="O17" s="850"/>
      <c r="P17" s="850"/>
      <c r="R17" s="759">
        <f>+G17/'(4)MantenimientoyCambiodeconex'!G16</f>
        <v>1.12</v>
      </c>
      <c r="S17" s="759">
        <f>+H17/'(4)MantenimientoyCambiodeconex'!H16</f>
        <v>1.12</v>
      </c>
      <c r="T17" s="759" t="e">
        <f>+I17/'(4)MantenimientoyCambiodeconex'!I16</f>
        <v>#DIV/0!</v>
      </c>
      <c r="U17" s="759" t="e">
        <f>+J17/'(4)MantenimientoyCambiodeconex'!J16</f>
        <v>#DIV/0!</v>
      </c>
      <c r="V17" s="759" t="e">
        <f>+K17/'(4)MantenimientoyCambiodeconex'!K16</f>
        <v>#DIV/0!</v>
      </c>
      <c r="W17" s="759" t="e">
        <f>+L17/'(4)MantenimientoyCambiodeconex'!L16</f>
        <v>#DIV/0!</v>
      </c>
      <c r="X17" s="759" t="e">
        <f>+M17/'(4)MantenimientoyCambiodeconex'!M16</f>
        <v>#DIV/0!</v>
      </c>
      <c r="Y17" s="759" t="e">
        <f>+N17/'(4)MantenimientoyCambiodeconex'!N16</f>
        <v>#DIV/0!</v>
      </c>
      <c r="Z17" s="759" t="e">
        <f>+O17/'(4)MantenimientoyCambiodeconex'!O16</f>
        <v>#DIV/0!</v>
      </c>
      <c r="AA17" s="759" t="e">
        <f>+P17/'(4)MantenimientoyCambiodeconex'!P16</f>
        <v>#DIV/0!</v>
      </c>
      <c r="AC17" s="759">
        <f>+IF(R17=G17,0,1)</f>
        <v>1</v>
      </c>
      <c r="AD17" s="759">
        <f t="shared" si="0"/>
        <v>1</v>
      </c>
      <c r="AE17" s="759" t="e">
        <f t="shared" si="0"/>
        <v>#DIV/0!</v>
      </c>
      <c r="AF17" s="759" t="e">
        <f t="shared" si="0"/>
        <v>#DIV/0!</v>
      </c>
      <c r="AG17" s="759" t="e">
        <f t="shared" si="0"/>
        <v>#DIV/0!</v>
      </c>
      <c r="AH17" s="759" t="e">
        <f t="shared" si="0"/>
        <v>#DIV/0!</v>
      </c>
      <c r="AI17" s="759" t="e">
        <f t="shared" si="0"/>
        <v>#DIV/0!</v>
      </c>
      <c r="AJ17" s="759" t="e">
        <f t="shared" si="0"/>
        <v>#DIV/0!</v>
      </c>
      <c r="AK17" s="759" t="e">
        <f t="shared" si="0"/>
        <v>#DIV/0!</v>
      </c>
      <c r="AL17" s="759" t="e">
        <f t="shared" si="0"/>
        <v>#DIV/0!</v>
      </c>
      <c r="BK17" s="772"/>
      <c r="BL17" s="766"/>
      <c r="BM17" s="772"/>
      <c r="BN17" s="767"/>
      <c r="BO17" s="772"/>
      <c r="BP17" s="765" t="s">
        <v>2</v>
      </c>
      <c r="BQ17" s="769" t="s">
        <v>55</v>
      </c>
      <c r="BR17" s="769" t="s">
        <v>56</v>
      </c>
      <c r="BS17" s="770">
        <f>'(4)MantenimientoyCambiodeconex'!BS16*1.12</f>
        <v>0.6393116799999999</v>
      </c>
    </row>
    <row r="18" spans="2:71" ht="12.75">
      <c r="B18" s="643"/>
      <c r="C18" s="644"/>
      <c r="D18" s="643"/>
      <c r="E18" s="645"/>
      <c r="F18" s="642" t="s">
        <v>87</v>
      </c>
      <c r="G18" s="849"/>
      <c r="H18" s="849"/>
      <c r="I18" s="849">
        <f>+'(4)MantenimientoyCambiodeconex'!I17*1.12</f>
        <v>1.20913296</v>
      </c>
      <c r="J18" s="849">
        <f>+'(4)MantenimientoyCambiodeconex'!J17*1.12</f>
        <v>1.08405024</v>
      </c>
      <c r="K18" s="849">
        <f>+'(4)MantenimientoyCambiodeconex'!K17*1.12</f>
        <v>1.2786233599999999</v>
      </c>
      <c r="L18" s="849">
        <f>+'(4)MantenimientoyCambiodeconex'!L17*1.12</f>
        <v>1.1535406400000001</v>
      </c>
      <c r="M18" s="849">
        <f>+'(4)MantenimientoyCambiodeconex'!M17*1.12</f>
        <v>1.50099264</v>
      </c>
      <c r="N18" s="849">
        <f>+'(4)MantenimientoyCambiodeconex'!N17*1.12</f>
        <v>1.3759099199999998</v>
      </c>
      <c r="O18" s="849">
        <f>+'(4)MantenimientoyCambiodeconex'!O17*1.12</f>
        <v>1.57048304</v>
      </c>
      <c r="P18" s="849">
        <f>+'(4)MantenimientoyCambiodeconex'!P17*1.12</f>
        <v>1.44540032</v>
      </c>
      <c r="R18" s="759" t="e">
        <f>+G18/'(4)MantenimientoyCambiodeconex'!G17</f>
        <v>#DIV/0!</v>
      </c>
      <c r="S18" s="759" t="e">
        <f>+H18/'(4)MantenimientoyCambiodeconex'!H17</f>
        <v>#DIV/0!</v>
      </c>
      <c r="T18" s="759">
        <f>+I18/'(4)MantenimientoyCambiodeconex'!I17</f>
        <v>1.12</v>
      </c>
      <c r="U18" s="759">
        <f>+J18/'(4)MantenimientoyCambiodeconex'!J17</f>
        <v>1.12</v>
      </c>
      <c r="V18" s="759">
        <f>+K18/'(4)MantenimientoyCambiodeconex'!K17</f>
        <v>1.12</v>
      </c>
      <c r="W18" s="759">
        <f>+L18/'(4)MantenimientoyCambiodeconex'!L17</f>
        <v>1.12</v>
      </c>
      <c r="X18" s="759">
        <f>+M18/'(4)MantenimientoyCambiodeconex'!M17</f>
        <v>1.12</v>
      </c>
      <c r="Y18" s="759">
        <f>+N18/'(4)MantenimientoyCambiodeconex'!N17</f>
        <v>1.12</v>
      </c>
      <c r="Z18" s="759">
        <f>+O18/'(4)MantenimientoyCambiodeconex'!O17</f>
        <v>1.12</v>
      </c>
      <c r="AA18" s="759">
        <f>+P18/'(4)MantenimientoyCambiodeconex'!P17</f>
        <v>1.12</v>
      </c>
      <c r="AC18" s="759" t="e">
        <f>+IF(R18=G18,0,1)</f>
        <v>#DIV/0!</v>
      </c>
      <c r="AD18" s="759" t="e">
        <f t="shared" si="0"/>
        <v>#DIV/0!</v>
      </c>
      <c r="AE18" s="759">
        <f t="shared" si="0"/>
        <v>1</v>
      </c>
      <c r="AF18" s="759">
        <f t="shared" si="0"/>
        <v>1</v>
      </c>
      <c r="AG18" s="759">
        <f t="shared" si="0"/>
        <v>1</v>
      </c>
      <c r="AH18" s="759">
        <f t="shared" si="0"/>
        <v>1</v>
      </c>
      <c r="AI18" s="759">
        <f t="shared" si="0"/>
        <v>1</v>
      </c>
      <c r="AJ18" s="759">
        <f t="shared" si="0"/>
        <v>1</v>
      </c>
      <c r="AK18" s="759">
        <f t="shared" si="0"/>
        <v>1</v>
      </c>
      <c r="AL18" s="759">
        <f t="shared" si="0"/>
        <v>1</v>
      </c>
      <c r="BJ18" s="634"/>
      <c r="BK18" s="772"/>
      <c r="BL18" s="766"/>
      <c r="BM18" s="772"/>
      <c r="BN18" s="767"/>
      <c r="BO18" s="772"/>
      <c r="BP18" s="772"/>
      <c r="BQ18" s="769" t="s">
        <v>57</v>
      </c>
      <c r="BR18" s="769" t="s">
        <v>58</v>
      </c>
      <c r="BS18" s="770">
        <f>'(4)MantenimientoyCambiodeconex'!BS17*1.12</f>
        <v>0.9311713600000001</v>
      </c>
    </row>
    <row r="19" spans="2:71" ht="12.75">
      <c r="B19" s="643"/>
      <c r="C19" s="644"/>
      <c r="D19" s="643"/>
      <c r="E19" s="645"/>
      <c r="F19" s="642" t="s">
        <v>88</v>
      </c>
      <c r="G19" s="849"/>
      <c r="H19" s="849"/>
      <c r="I19" s="849">
        <f>+'(4)MantenimientoyCambiodeconex'!I18*1.12</f>
        <v>1.20913296</v>
      </c>
      <c r="J19" s="849">
        <f>+'(4)MantenimientoyCambiodeconex'!J18*1.12</f>
        <v>1.08405024</v>
      </c>
      <c r="K19" s="849">
        <f>+'(4)MantenimientoyCambiodeconex'!K18*1.12</f>
        <v>1.2786233599999999</v>
      </c>
      <c r="L19" s="849">
        <f>+'(4)MantenimientoyCambiodeconex'!L18*1.12</f>
        <v>1.1535406400000001</v>
      </c>
      <c r="M19" s="849">
        <f>+'(4)MantenimientoyCambiodeconex'!M18*1.12</f>
        <v>1.50099264</v>
      </c>
      <c r="N19" s="849">
        <f>+'(4)MantenimientoyCambiodeconex'!N18*1.12</f>
        <v>1.3759099199999998</v>
      </c>
      <c r="O19" s="849">
        <f>+'(4)MantenimientoyCambiodeconex'!O18*1.12</f>
        <v>1.57048304</v>
      </c>
      <c r="P19" s="849">
        <f>+'(4)MantenimientoyCambiodeconex'!P18*1.12</f>
        <v>1.44540032</v>
      </c>
      <c r="R19" s="759" t="e">
        <f>+G19/'(4)MantenimientoyCambiodeconex'!G18</f>
        <v>#DIV/0!</v>
      </c>
      <c r="S19" s="759" t="e">
        <f>+H19/'(4)MantenimientoyCambiodeconex'!H18</f>
        <v>#DIV/0!</v>
      </c>
      <c r="T19" s="759">
        <f>+I19/'(4)MantenimientoyCambiodeconex'!I18</f>
        <v>1.12</v>
      </c>
      <c r="U19" s="759">
        <f>+J19/'(4)MantenimientoyCambiodeconex'!J18</f>
        <v>1.12</v>
      </c>
      <c r="V19" s="759">
        <f>+K19/'(4)MantenimientoyCambiodeconex'!K18</f>
        <v>1.12</v>
      </c>
      <c r="W19" s="759">
        <f>+L19/'(4)MantenimientoyCambiodeconex'!L18</f>
        <v>1.12</v>
      </c>
      <c r="X19" s="759">
        <f>+M19/'(4)MantenimientoyCambiodeconex'!M18</f>
        <v>1.12</v>
      </c>
      <c r="Y19" s="759">
        <f>+N19/'(4)MantenimientoyCambiodeconex'!N18</f>
        <v>1.12</v>
      </c>
      <c r="Z19" s="759">
        <f>+O19/'(4)MantenimientoyCambiodeconex'!O18</f>
        <v>1.12</v>
      </c>
      <c r="AA19" s="759">
        <f>+P19/'(4)MantenimientoyCambiodeconex'!P18</f>
        <v>1.12</v>
      </c>
      <c r="AC19" s="759" t="e">
        <f>+IF(R19=G19,0,1)</f>
        <v>#DIV/0!</v>
      </c>
      <c r="AD19" s="759" t="e">
        <f t="shared" si="0"/>
        <v>#DIV/0!</v>
      </c>
      <c r="AE19" s="759">
        <f t="shared" si="0"/>
        <v>1</v>
      </c>
      <c r="AF19" s="759">
        <f t="shared" si="0"/>
        <v>1</v>
      </c>
      <c r="AG19" s="759">
        <f t="shared" si="0"/>
        <v>1</v>
      </c>
      <c r="AH19" s="759">
        <f t="shared" si="0"/>
        <v>1</v>
      </c>
      <c r="AI19" s="759">
        <f t="shared" si="0"/>
        <v>1</v>
      </c>
      <c r="AJ19" s="759">
        <f t="shared" si="0"/>
        <v>1</v>
      </c>
      <c r="AK19" s="759">
        <f t="shared" si="0"/>
        <v>1</v>
      </c>
      <c r="AL19" s="759">
        <f t="shared" si="0"/>
        <v>1</v>
      </c>
      <c r="BJ19" s="634"/>
      <c r="BK19" s="772"/>
      <c r="BL19" s="766"/>
      <c r="BM19" s="772"/>
      <c r="BN19" s="767"/>
      <c r="BO19" s="772"/>
      <c r="BP19" s="772"/>
      <c r="BQ19" s="773" t="s">
        <v>298</v>
      </c>
      <c r="BR19" s="774" t="s">
        <v>185</v>
      </c>
      <c r="BS19" s="770">
        <f>'(4)MantenimientoyCambiodeconex'!BS18*1.12</f>
        <v>1.08405024</v>
      </c>
    </row>
    <row r="20" spans="2:71" ht="12.75">
      <c r="B20" s="643"/>
      <c r="C20" s="644"/>
      <c r="D20" s="643"/>
      <c r="E20" s="645"/>
      <c r="F20" s="649" t="s">
        <v>56</v>
      </c>
      <c r="G20" s="849">
        <f>+'(4)MantenimientoyCambiodeconex'!G19*1.12</f>
        <v>0.7643944</v>
      </c>
      <c r="H20" s="849">
        <f>+'(4)MantenimientoyCambiodeconex'!H19*1.12</f>
        <v>0.6393116799999999</v>
      </c>
      <c r="I20" s="850"/>
      <c r="J20" s="850"/>
      <c r="K20" s="850"/>
      <c r="L20" s="850"/>
      <c r="M20" s="850"/>
      <c r="N20" s="850"/>
      <c r="O20" s="850"/>
      <c r="P20" s="850"/>
      <c r="R20" s="759">
        <f>+G20/'(4)MantenimientoyCambiodeconex'!G19</f>
        <v>1.12</v>
      </c>
      <c r="S20" s="759">
        <f>+H20/'(4)MantenimientoyCambiodeconex'!H19</f>
        <v>1.12</v>
      </c>
      <c r="T20" s="759" t="e">
        <f>+I20/'(4)MantenimientoyCambiodeconex'!I19</f>
        <v>#DIV/0!</v>
      </c>
      <c r="U20" s="759" t="e">
        <f>+J20/'(4)MantenimientoyCambiodeconex'!J19</f>
        <v>#DIV/0!</v>
      </c>
      <c r="V20" s="759" t="e">
        <f>+K20/'(4)MantenimientoyCambiodeconex'!K19</f>
        <v>#DIV/0!</v>
      </c>
      <c r="W20" s="759" t="e">
        <f>+L20/'(4)MantenimientoyCambiodeconex'!L19</f>
        <v>#DIV/0!</v>
      </c>
      <c r="X20" s="759" t="e">
        <f>+M20/'(4)MantenimientoyCambiodeconex'!M19</f>
        <v>#DIV/0!</v>
      </c>
      <c r="Y20" s="759" t="e">
        <f>+N20/'(4)MantenimientoyCambiodeconex'!N19</f>
        <v>#DIV/0!</v>
      </c>
      <c r="Z20" s="759" t="e">
        <f>+O20/'(4)MantenimientoyCambiodeconex'!O19</f>
        <v>#DIV/0!</v>
      </c>
      <c r="AA20" s="759" t="e">
        <f>+P20/'(4)MantenimientoyCambiodeconex'!P19</f>
        <v>#DIV/0!</v>
      </c>
      <c r="AC20" s="759">
        <f>+IF(R20=G20,0,1)</f>
        <v>1</v>
      </c>
      <c r="AD20" s="759">
        <f t="shared" si="0"/>
        <v>1</v>
      </c>
      <c r="AE20" s="759" t="e">
        <f t="shared" si="0"/>
        <v>#DIV/0!</v>
      </c>
      <c r="AF20" s="759" t="e">
        <f t="shared" si="0"/>
        <v>#DIV/0!</v>
      </c>
      <c r="AG20" s="759" t="e">
        <f t="shared" si="0"/>
        <v>#DIV/0!</v>
      </c>
      <c r="AH20" s="759" t="e">
        <f t="shared" si="0"/>
        <v>#DIV/0!</v>
      </c>
      <c r="AI20" s="759" t="e">
        <f t="shared" si="0"/>
        <v>#DIV/0!</v>
      </c>
      <c r="AJ20" s="759" t="e">
        <f t="shared" si="0"/>
        <v>#DIV/0!</v>
      </c>
      <c r="AK20" s="759" t="e">
        <f t="shared" si="0"/>
        <v>#DIV/0!</v>
      </c>
      <c r="AL20" s="759" t="e">
        <f t="shared" si="0"/>
        <v>#DIV/0!</v>
      </c>
      <c r="BK20" s="772"/>
      <c r="BL20" s="766"/>
      <c r="BM20" s="772"/>
      <c r="BN20" s="767"/>
      <c r="BO20" s="772"/>
      <c r="BP20" s="772"/>
      <c r="BQ20" s="773" t="s">
        <v>299</v>
      </c>
      <c r="BR20" s="774" t="s">
        <v>185</v>
      </c>
      <c r="BS20" s="770">
        <f>'(4)MantenimientoyCambiodeconex'!BS19*1.12</f>
        <v>1.1535406400000001</v>
      </c>
    </row>
    <row r="21" spans="2:71" ht="12.75">
      <c r="B21" s="640" t="s">
        <v>18</v>
      </c>
      <c r="C21" s="650" t="s">
        <v>16</v>
      </c>
      <c r="D21" s="640" t="s">
        <v>17</v>
      </c>
      <c r="E21" s="641" t="s">
        <v>19</v>
      </c>
      <c r="F21" s="642" t="s">
        <v>63</v>
      </c>
      <c r="G21" s="849">
        <f>+'(4)MantenimientoyCambiodeconex'!G20*1.12</f>
        <v>3.0297814400000003</v>
      </c>
      <c r="H21" s="849">
        <f>+'(4)MantenimientoyCambiodeconex'!H20*1.12</f>
        <v>2.9463929600000003</v>
      </c>
      <c r="I21" s="850"/>
      <c r="J21" s="850"/>
      <c r="K21" s="850"/>
      <c r="L21" s="850"/>
      <c r="M21" s="850"/>
      <c r="N21" s="850"/>
      <c r="O21" s="850"/>
      <c r="P21" s="850"/>
      <c r="R21" s="759">
        <f>+G21/'(4)MantenimientoyCambiodeconex'!G20</f>
        <v>1.12</v>
      </c>
      <c r="S21" s="759">
        <f>+H21/'(4)MantenimientoyCambiodeconex'!H20</f>
        <v>1.12</v>
      </c>
      <c r="T21" s="759" t="e">
        <f>+I21/'(4)MantenimientoyCambiodeconex'!I20</f>
        <v>#DIV/0!</v>
      </c>
      <c r="U21" s="759" t="e">
        <f>+J21/'(4)MantenimientoyCambiodeconex'!J20</f>
        <v>#DIV/0!</v>
      </c>
      <c r="V21" s="759" t="e">
        <f>+K21/'(4)MantenimientoyCambiodeconex'!K20</f>
        <v>#DIV/0!</v>
      </c>
      <c r="W21" s="759" t="e">
        <f>+L21/'(4)MantenimientoyCambiodeconex'!L20</f>
        <v>#DIV/0!</v>
      </c>
      <c r="X21" s="759" t="e">
        <f>+M21/'(4)MantenimientoyCambiodeconex'!M20</f>
        <v>#DIV/0!</v>
      </c>
      <c r="Y21" s="759" t="e">
        <f>+N21/'(4)MantenimientoyCambiodeconex'!N20</f>
        <v>#DIV/0!</v>
      </c>
      <c r="Z21" s="759" t="e">
        <f>+O21/'(4)MantenimientoyCambiodeconex'!O20</f>
        <v>#DIV/0!</v>
      </c>
      <c r="AA21" s="759" t="e">
        <f>+P21/'(4)MantenimientoyCambiodeconex'!P20</f>
        <v>#DIV/0!</v>
      </c>
      <c r="AC21" s="759">
        <f>+IF(R21=G21,0,1)</f>
        <v>1</v>
      </c>
      <c r="AD21" s="759">
        <f t="shared" si="0"/>
        <v>1</v>
      </c>
      <c r="AE21" s="759" t="e">
        <f t="shared" si="0"/>
        <v>#DIV/0!</v>
      </c>
      <c r="AF21" s="759" t="e">
        <f t="shared" si="0"/>
        <v>#DIV/0!</v>
      </c>
      <c r="AG21" s="759" t="e">
        <f t="shared" si="0"/>
        <v>#DIV/0!</v>
      </c>
      <c r="AH21" s="759" t="e">
        <f t="shared" si="0"/>
        <v>#DIV/0!</v>
      </c>
      <c r="AI21" s="759" t="e">
        <f t="shared" si="0"/>
        <v>#DIV/0!</v>
      </c>
      <c r="AJ21" s="759" t="e">
        <f t="shared" si="0"/>
        <v>#DIV/0!</v>
      </c>
      <c r="AK21" s="759" t="e">
        <f t="shared" si="0"/>
        <v>#DIV/0!</v>
      </c>
      <c r="AL21" s="759" t="e">
        <f t="shared" si="0"/>
        <v>#DIV/0!</v>
      </c>
      <c r="BK21" s="772"/>
      <c r="BL21" s="766"/>
      <c r="BM21" s="772"/>
      <c r="BN21" s="767"/>
      <c r="BO21" s="772"/>
      <c r="BP21" s="772"/>
      <c r="BQ21" s="773" t="s">
        <v>301</v>
      </c>
      <c r="BR21" s="774" t="s">
        <v>185</v>
      </c>
      <c r="BS21" s="770">
        <f>'(4)MantenimientoyCambiodeconex'!BS20*1.12</f>
        <v>1.3759099199999998</v>
      </c>
    </row>
    <row r="22" spans="2:71" ht="12.75">
      <c r="B22" s="643"/>
      <c r="C22" s="644"/>
      <c r="D22" s="643"/>
      <c r="E22" s="645"/>
      <c r="F22" s="642" t="s">
        <v>60</v>
      </c>
      <c r="G22" s="849"/>
      <c r="H22" s="849"/>
      <c r="I22" s="849">
        <f>+'(4)MantenimientoyCambiodeconex'!I21*1.12</f>
        <v>1.44540032</v>
      </c>
      <c r="J22" s="849">
        <f>+'(4)MantenimientoyCambiodeconex'!J21*1.12</f>
        <v>1.3759099199999998</v>
      </c>
      <c r="K22" s="849">
        <f>+'(4)MantenimientoyCambiodeconex'!K21*1.12</f>
        <v>1.44540032</v>
      </c>
      <c r="L22" s="849">
        <f>+'(4)MantenimientoyCambiodeconex'!L21*1.12</f>
        <v>1.3759099199999998</v>
      </c>
      <c r="M22" s="849">
        <f>+'(4)MantenimientoyCambiodeconex'!M21*1.12</f>
        <v>1.6121772799999998</v>
      </c>
      <c r="N22" s="849">
        <f>+'(4)MantenimientoyCambiodeconex'!N21*1.12</f>
        <v>1.5287888</v>
      </c>
      <c r="O22" s="849">
        <f>+'(4)MantenimientoyCambiodeconex'!O21*1.12</f>
        <v>1.6121772799999998</v>
      </c>
      <c r="P22" s="849">
        <f>+'(4)MantenimientoyCambiodeconex'!P21*1.12</f>
        <v>1.5287888</v>
      </c>
      <c r="R22" s="759" t="e">
        <f>+G22/'(4)MantenimientoyCambiodeconex'!G21</f>
        <v>#DIV/0!</v>
      </c>
      <c r="S22" s="759" t="e">
        <f>+H22/'(4)MantenimientoyCambiodeconex'!H21</f>
        <v>#DIV/0!</v>
      </c>
      <c r="T22" s="759">
        <f>+I22/'(4)MantenimientoyCambiodeconex'!I21</f>
        <v>1.12</v>
      </c>
      <c r="U22" s="759">
        <f>+J22/'(4)MantenimientoyCambiodeconex'!J21</f>
        <v>1.12</v>
      </c>
      <c r="V22" s="759">
        <f>+K22/'(4)MantenimientoyCambiodeconex'!K21</f>
        <v>1.12</v>
      </c>
      <c r="W22" s="759">
        <f>+L22/'(4)MantenimientoyCambiodeconex'!L21</f>
        <v>1.12</v>
      </c>
      <c r="X22" s="759">
        <f>+M22/'(4)MantenimientoyCambiodeconex'!M21</f>
        <v>1.12</v>
      </c>
      <c r="Y22" s="759">
        <f>+N22/'(4)MantenimientoyCambiodeconex'!N21</f>
        <v>1.12</v>
      </c>
      <c r="Z22" s="759">
        <f>+O22/'(4)MantenimientoyCambiodeconex'!O21</f>
        <v>1.12</v>
      </c>
      <c r="AA22" s="759">
        <f>+P22/'(4)MantenimientoyCambiodeconex'!P21</f>
        <v>1.12</v>
      </c>
      <c r="AC22" s="759" t="e">
        <f>+IF(R22=G22,0,1)</f>
        <v>#DIV/0!</v>
      </c>
      <c r="AD22" s="759" t="e">
        <f t="shared" si="0"/>
        <v>#DIV/0!</v>
      </c>
      <c r="AE22" s="759">
        <f t="shared" si="0"/>
        <v>1</v>
      </c>
      <c r="AF22" s="759">
        <f t="shared" si="0"/>
        <v>1</v>
      </c>
      <c r="AG22" s="759">
        <f t="shared" si="0"/>
        <v>1</v>
      </c>
      <c r="AH22" s="759">
        <f t="shared" si="0"/>
        <v>1</v>
      </c>
      <c r="AI22" s="759">
        <f t="shared" si="0"/>
        <v>1</v>
      </c>
      <c r="AJ22" s="759">
        <f t="shared" si="0"/>
        <v>1</v>
      </c>
      <c r="AK22" s="759">
        <f t="shared" si="0"/>
        <v>1</v>
      </c>
      <c r="AL22" s="759">
        <f t="shared" si="0"/>
        <v>1</v>
      </c>
      <c r="BK22" s="772"/>
      <c r="BL22" s="766"/>
      <c r="BM22" s="772"/>
      <c r="BN22" s="767"/>
      <c r="BO22" s="772"/>
      <c r="BP22" s="772"/>
      <c r="BQ22" s="773" t="s">
        <v>300</v>
      </c>
      <c r="BR22" s="774" t="s">
        <v>185</v>
      </c>
      <c r="BS22" s="770">
        <f>'(4)MantenimientoyCambiodeconex'!BS21*1.12</f>
        <v>1.44540032</v>
      </c>
    </row>
    <row r="23" spans="2:71" ht="12.75">
      <c r="B23" s="643"/>
      <c r="C23" s="644"/>
      <c r="D23" s="643"/>
      <c r="E23" s="645"/>
      <c r="F23" s="642" t="s">
        <v>56</v>
      </c>
      <c r="G23" s="849">
        <f>+'(4)MantenimientoyCambiodeconex'!G22*1.12</f>
        <v>0.75049632</v>
      </c>
      <c r="H23" s="849">
        <f>+'(4)MantenimientoyCambiodeconex'!H22*1.12</f>
        <v>0.66710784</v>
      </c>
      <c r="I23" s="850"/>
      <c r="J23" s="850"/>
      <c r="K23" s="850"/>
      <c r="L23" s="850"/>
      <c r="M23" s="850"/>
      <c r="N23" s="850"/>
      <c r="O23" s="850"/>
      <c r="P23" s="850"/>
      <c r="R23" s="759">
        <f>+G23/'(4)MantenimientoyCambiodeconex'!G22</f>
        <v>1.12</v>
      </c>
      <c r="S23" s="759">
        <f>+H23/'(4)MantenimientoyCambiodeconex'!H22</f>
        <v>1.12</v>
      </c>
      <c r="T23" s="759" t="e">
        <f>+I23/'(4)MantenimientoyCambiodeconex'!I22</f>
        <v>#DIV/0!</v>
      </c>
      <c r="U23" s="759" t="e">
        <f>+J23/'(4)MantenimientoyCambiodeconex'!J22</f>
        <v>#DIV/0!</v>
      </c>
      <c r="V23" s="759" t="e">
        <f>+K23/'(4)MantenimientoyCambiodeconex'!K22</f>
        <v>#DIV/0!</v>
      </c>
      <c r="W23" s="759" t="e">
        <f>+L23/'(4)MantenimientoyCambiodeconex'!L22</f>
        <v>#DIV/0!</v>
      </c>
      <c r="X23" s="759" t="e">
        <f>+M23/'(4)MantenimientoyCambiodeconex'!M22</f>
        <v>#DIV/0!</v>
      </c>
      <c r="Y23" s="759" t="e">
        <f>+N23/'(4)MantenimientoyCambiodeconex'!N22</f>
        <v>#DIV/0!</v>
      </c>
      <c r="Z23" s="759" t="e">
        <f>+O23/'(4)MantenimientoyCambiodeconex'!O22</f>
        <v>#DIV/0!</v>
      </c>
      <c r="AA23" s="759" t="e">
        <f>+P23/'(4)MantenimientoyCambiodeconex'!P22</f>
        <v>#DIV/0!</v>
      </c>
      <c r="AC23" s="759">
        <f>+IF(R23=G23,0,1)</f>
        <v>1</v>
      </c>
      <c r="AD23" s="759">
        <f t="shared" si="0"/>
        <v>1</v>
      </c>
      <c r="AE23" s="759" t="e">
        <f t="shared" si="0"/>
        <v>#DIV/0!</v>
      </c>
      <c r="AF23" s="759" t="e">
        <f t="shared" si="0"/>
        <v>#DIV/0!</v>
      </c>
      <c r="AG23" s="759" t="e">
        <f t="shared" si="0"/>
        <v>#DIV/0!</v>
      </c>
      <c r="AH23" s="759" t="e">
        <f t="shared" si="0"/>
        <v>#DIV/0!</v>
      </c>
      <c r="AI23" s="759" t="e">
        <f t="shared" si="0"/>
        <v>#DIV/0!</v>
      </c>
      <c r="AJ23" s="759" t="e">
        <f t="shared" si="0"/>
        <v>#DIV/0!</v>
      </c>
      <c r="AK23" s="759" t="e">
        <f t="shared" si="0"/>
        <v>#DIV/0!</v>
      </c>
      <c r="AL23" s="759" t="e">
        <f t="shared" si="0"/>
        <v>#DIV/0!</v>
      </c>
      <c r="BK23" s="776"/>
      <c r="BL23" s="766"/>
      <c r="BM23" s="776"/>
      <c r="BN23" s="767"/>
      <c r="BO23" s="772"/>
      <c r="BP23" s="776"/>
      <c r="BQ23" s="769" t="s">
        <v>62</v>
      </c>
      <c r="BR23" s="769" t="s">
        <v>63</v>
      </c>
      <c r="BS23" s="770">
        <f>'(4)MantenimientoyCambiodeconex'!BS22*1.12</f>
        <v>1.50099264</v>
      </c>
    </row>
    <row r="24" spans="2:71" ht="12.75">
      <c r="B24" s="643"/>
      <c r="C24" s="644"/>
      <c r="D24" s="643"/>
      <c r="E24" s="645"/>
      <c r="F24" s="642" t="s">
        <v>272</v>
      </c>
      <c r="G24" s="849">
        <f>+'(4)MantenimientoyCambiodeconex'!G23*1.12</f>
        <v>3.4884180799999998</v>
      </c>
      <c r="H24" s="849">
        <f>+'(4)MantenimientoyCambiodeconex'!H23*1.12</f>
        <v>3.41892768</v>
      </c>
      <c r="I24" s="850"/>
      <c r="J24" s="850"/>
      <c r="K24" s="850"/>
      <c r="L24" s="850"/>
      <c r="M24" s="850"/>
      <c r="N24" s="850"/>
      <c r="O24" s="850"/>
      <c r="P24" s="850"/>
      <c r="R24" s="759">
        <f>+G24/'(4)MantenimientoyCambiodeconex'!G23</f>
        <v>1.12</v>
      </c>
      <c r="S24" s="759">
        <f>+H24/'(4)MantenimientoyCambiodeconex'!H23</f>
        <v>1.12</v>
      </c>
      <c r="T24" s="759" t="e">
        <f>+I24/'(4)MantenimientoyCambiodeconex'!I23</f>
        <v>#DIV/0!</v>
      </c>
      <c r="U24" s="759" t="e">
        <f>+J24/'(4)MantenimientoyCambiodeconex'!J23</f>
        <v>#DIV/0!</v>
      </c>
      <c r="V24" s="759" t="e">
        <f>+K24/'(4)MantenimientoyCambiodeconex'!K23</f>
        <v>#DIV/0!</v>
      </c>
      <c r="W24" s="759" t="e">
        <f>+L24/'(4)MantenimientoyCambiodeconex'!L23</f>
        <v>#DIV/0!</v>
      </c>
      <c r="X24" s="759" t="e">
        <f>+M24/'(4)MantenimientoyCambiodeconex'!M23</f>
        <v>#DIV/0!</v>
      </c>
      <c r="Y24" s="759" t="e">
        <f>+N24/'(4)MantenimientoyCambiodeconex'!N23</f>
        <v>#DIV/0!</v>
      </c>
      <c r="Z24" s="759" t="e">
        <f>+O24/'(4)MantenimientoyCambiodeconex'!O23</f>
        <v>#DIV/0!</v>
      </c>
      <c r="AA24" s="759" t="e">
        <f>+P24/'(4)MantenimientoyCambiodeconex'!P23</f>
        <v>#DIV/0!</v>
      </c>
      <c r="AC24" s="759">
        <f>+IF(R24=G24,0,1)</f>
        <v>1</v>
      </c>
      <c r="AD24" s="759">
        <f t="shared" si="0"/>
        <v>1</v>
      </c>
      <c r="AE24" s="759" t="e">
        <f t="shared" si="0"/>
        <v>#DIV/0!</v>
      </c>
      <c r="AF24" s="759" t="e">
        <f t="shared" si="0"/>
        <v>#DIV/0!</v>
      </c>
      <c r="AG24" s="759" t="e">
        <f t="shared" si="0"/>
        <v>#DIV/0!</v>
      </c>
      <c r="AH24" s="759" t="e">
        <f t="shared" si="0"/>
        <v>#DIV/0!</v>
      </c>
      <c r="AI24" s="759" t="e">
        <f t="shared" si="0"/>
        <v>#DIV/0!</v>
      </c>
      <c r="AJ24" s="759" t="e">
        <f t="shared" si="0"/>
        <v>#DIV/0!</v>
      </c>
      <c r="AK24" s="759" t="e">
        <f t="shared" si="0"/>
        <v>#DIV/0!</v>
      </c>
      <c r="AL24" s="759" t="e">
        <f t="shared" si="0"/>
        <v>#DIV/0!</v>
      </c>
      <c r="BK24" s="765" t="s">
        <v>16</v>
      </c>
      <c r="BL24" s="765" t="s">
        <v>64</v>
      </c>
      <c r="BM24" s="765" t="s">
        <v>53</v>
      </c>
      <c r="BN24" s="765" t="s">
        <v>18</v>
      </c>
      <c r="BO24" s="768" t="s">
        <v>65</v>
      </c>
      <c r="BP24" s="765" t="s">
        <v>54</v>
      </c>
      <c r="BQ24" s="769" t="s">
        <v>55</v>
      </c>
      <c r="BR24" s="769" t="s">
        <v>56</v>
      </c>
      <c r="BS24" s="770">
        <f>'(4)MantenimientoyCambiodeconex'!BS23*1.12</f>
        <v>0.75049632</v>
      </c>
    </row>
    <row r="25" spans="2:71" ht="12.75">
      <c r="B25" s="643"/>
      <c r="C25" s="644"/>
      <c r="D25" s="777" t="s">
        <v>21</v>
      </c>
      <c r="E25" s="740" t="s">
        <v>22</v>
      </c>
      <c r="F25" s="642" t="s">
        <v>63</v>
      </c>
      <c r="G25" s="849">
        <f>+'(4)MantenimientoyCambiodeconex'!G24*1.12</f>
        <v>3.0297814400000003</v>
      </c>
      <c r="H25" s="849">
        <f>+'(4)MantenimientoyCambiodeconex'!H24*1.12</f>
        <v>2.9463929600000003</v>
      </c>
      <c r="I25" s="850"/>
      <c r="J25" s="850"/>
      <c r="K25" s="850"/>
      <c r="L25" s="850"/>
      <c r="M25" s="850"/>
      <c r="N25" s="850"/>
      <c r="O25" s="850"/>
      <c r="P25" s="850"/>
      <c r="R25" s="759">
        <f>+G25/'(4)MantenimientoyCambiodeconex'!G24</f>
        <v>1.12</v>
      </c>
      <c r="S25" s="759">
        <f>+H25/'(4)MantenimientoyCambiodeconex'!H24</f>
        <v>1.12</v>
      </c>
      <c r="T25" s="759" t="e">
        <f>+I25/'(4)MantenimientoyCambiodeconex'!I24</f>
        <v>#DIV/0!</v>
      </c>
      <c r="U25" s="759" t="e">
        <f>+J25/'(4)MantenimientoyCambiodeconex'!J24</f>
        <v>#DIV/0!</v>
      </c>
      <c r="V25" s="759" t="e">
        <f>+K25/'(4)MantenimientoyCambiodeconex'!K24</f>
        <v>#DIV/0!</v>
      </c>
      <c r="W25" s="759" t="e">
        <f>+L25/'(4)MantenimientoyCambiodeconex'!L24</f>
        <v>#DIV/0!</v>
      </c>
      <c r="X25" s="759" t="e">
        <f>+M25/'(4)MantenimientoyCambiodeconex'!M24</f>
        <v>#DIV/0!</v>
      </c>
      <c r="Y25" s="759" t="e">
        <f>+N25/'(4)MantenimientoyCambiodeconex'!N24</f>
        <v>#DIV/0!</v>
      </c>
      <c r="Z25" s="759" t="e">
        <f>+O25/'(4)MantenimientoyCambiodeconex'!O24</f>
        <v>#DIV/0!</v>
      </c>
      <c r="AA25" s="759" t="e">
        <f>+P25/'(4)MantenimientoyCambiodeconex'!P24</f>
        <v>#DIV/0!</v>
      </c>
      <c r="AC25" s="759">
        <f>+IF(R25=G25,0,1)</f>
        <v>1</v>
      </c>
      <c r="AD25" s="759">
        <f t="shared" si="0"/>
        <v>1</v>
      </c>
      <c r="AE25" s="759" t="e">
        <f t="shared" si="0"/>
        <v>#DIV/0!</v>
      </c>
      <c r="AF25" s="759" t="e">
        <f t="shared" si="0"/>
        <v>#DIV/0!</v>
      </c>
      <c r="AG25" s="759" t="e">
        <f t="shared" si="0"/>
        <v>#DIV/0!</v>
      </c>
      <c r="AH25" s="759" t="e">
        <f t="shared" si="0"/>
        <v>#DIV/0!</v>
      </c>
      <c r="AI25" s="759" t="e">
        <f t="shared" si="0"/>
        <v>#DIV/0!</v>
      </c>
      <c r="AJ25" s="759" t="e">
        <f t="shared" si="0"/>
        <v>#DIV/0!</v>
      </c>
      <c r="AK25" s="759" t="e">
        <f t="shared" si="0"/>
        <v>#DIV/0!</v>
      </c>
      <c r="AL25" s="759" t="e">
        <f t="shared" si="0"/>
        <v>#DIV/0!</v>
      </c>
      <c r="BK25" s="772"/>
      <c r="BL25" s="772"/>
      <c r="BM25" s="772"/>
      <c r="BN25" s="772"/>
      <c r="BO25" s="772"/>
      <c r="BP25" s="772"/>
      <c r="BQ25" s="778" t="s">
        <v>59</v>
      </c>
      <c r="BR25" s="769" t="s">
        <v>185</v>
      </c>
      <c r="BS25" s="770">
        <f>'(4)MantenimientoyCambiodeconex'!BS24*1.12</f>
        <v>1.44540032</v>
      </c>
    </row>
    <row r="26" spans="2:71" ht="12.75">
      <c r="B26" s="643"/>
      <c r="C26" s="644"/>
      <c r="D26" s="643"/>
      <c r="E26" s="645"/>
      <c r="F26" s="642" t="s">
        <v>60</v>
      </c>
      <c r="G26" s="849"/>
      <c r="H26" s="849"/>
      <c r="I26" s="849">
        <f>+'(4)MantenimientoyCambiodeconex'!I25*1.12</f>
        <v>1.44540032</v>
      </c>
      <c r="J26" s="849">
        <f>+'(4)MantenimientoyCambiodeconex'!J25*1.12</f>
        <v>1.3759099199999998</v>
      </c>
      <c r="K26" s="849">
        <f>+'(4)MantenimientoyCambiodeconex'!K25*1.12</f>
        <v>1.44540032</v>
      </c>
      <c r="L26" s="849">
        <f>+'(4)MantenimientoyCambiodeconex'!L25*1.12</f>
        <v>1.3759099199999998</v>
      </c>
      <c r="M26" s="849">
        <f>+'(4)MantenimientoyCambiodeconex'!M25*1.12</f>
        <v>1.6121772799999998</v>
      </c>
      <c r="N26" s="849">
        <f>+'(4)MantenimientoyCambiodeconex'!N25*1.12</f>
        <v>1.5287888</v>
      </c>
      <c r="O26" s="849">
        <f>+'(4)MantenimientoyCambiodeconex'!O25*1.12</f>
        <v>1.6121772799999998</v>
      </c>
      <c r="P26" s="849">
        <f>+'(4)MantenimientoyCambiodeconex'!P25*1.12</f>
        <v>1.5287888</v>
      </c>
      <c r="R26" s="759" t="e">
        <f>+G26/'(4)MantenimientoyCambiodeconex'!G25</f>
        <v>#DIV/0!</v>
      </c>
      <c r="S26" s="759" t="e">
        <f>+H26/'(4)MantenimientoyCambiodeconex'!H25</f>
        <v>#DIV/0!</v>
      </c>
      <c r="T26" s="759">
        <f>+I26/'(4)MantenimientoyCambiodeconex'!I25</f>
        <v>1.12</v>
      </c>
      <c r="U26" s="759">
        <f>+J26/'(4)MantenimientoyCambiodeconex'!J25</f>
        <v>1.12</v>
      </c>
      <c r="V26" s="759">
        <f>+K26/'(4)MantenimientoyCambiodeconex'!K25</f>
        <v>1.12</v>
      </c>
      <c r="W26" s="759">
        <f>+L26/'(4)MantenimientoyCambiodeconex'!L25</f>
        <v>1.12</v>
      </c>
      <c r="X26" s="759">
        <f>+M26/'(4)MantenimientoyCambiodeconex'!M25</f>
        <v>1.12</v>
      </c>
      <c r="Y26" s="759">
        <f>+N26/'(4)MantenimientoyCambiodeconex'!N25</f>
        <v>1.12</v>
      </c>
      <c r="Z26" s="759">
        <f>+O26/'(4)MantenimientoyCambiodeconex'!O25</f>
        <v>1.12</v>
      </c>
      <c r="AA26" s="759">
        <f>+P26/'(4)MantenimientoyCambiodeconex'!P25</f>
        <v>1.12</v>
      </c>
      <c r="AC26" s="759" t="e">
        <f>+IF(R26=G26,0,1)</f>
        <v>#DIV/0!</v>
      </c>
      <c r="AD26" s="759" t="e">
        <f t="shared" si="0"/>
        <v>#DIV/0!</v>
      </c>
      <c r="AE26" s="759">
        <f t="shared" si="0"/>
        <v>1</v>
      </c>
      <c r="AF26" s="759">
        <f t="shared" si="0"/>
        <v>1</v>
      </c>
      <c r="AG26" s="759">
        <f t="shared" si="0"/>
        <v>1</v>
      </c>
      <c r="AH26" s="759">
        <f t="shared" si="0"/>
        <v>1</v>
      </c>
      <c r="AI26" s="759">
        <f t="shared" si="0"/>
        <v>1</v>
      </c>
      <c r="AJ26" s="759">
        <f t="shared" si="0"/>
        <v>1</v>
      </c>
      <c r="AK26" s="759">
        <f t="shared" si="0"/>
        <v>1</v>
      </c>
      <c r="AL26" s="759">
        <f t="shared" si="0"/>
        <v>1</v>
      </c>
      <c r="BK26" s="772"/>
      <c r="BL26" s="772"/>
      <c r="BM26" s="772"/>
      <c r="BN26" s="772"/>
      <c r="BO26" s="772"/>
      <c r="BP26" s="772"/>
      <c r="BQ26" s="778" t="s">
        <v>61</v>
      </c>
      <c r="BR26" s="769" t="s">
        <v>185</v>
      </c>
      <c r="BS26" s="770">
        <f>'(4)MantenimientoyCambiodeconex'!BS25*1.12</f>
        <v>1.6121772799999998</v>
      </c>
    </row>
    <row r="27" spans="2:71" ht="12.75">
      <c r="B27" s="643"/>
      <c r="C27" s="644"/>
      <c r="D27" s="643"/>
      <c r="E27" s="645"/>
      <c r="F27" s="642" t="s">
        <v>56</v>
      </c>
      <c r="G27" s="849">
        <f>+'(4)MantenimientoyCambiodeconex'!G26*1.12</f>
        <v>0.75049632</v>
      </c>
      <c r="H27" s="849">
        <f>+'(4)MantenimientoyCambiodeconex'!H26*1.12</f>
        <v>0.66710784</v>
      </c>
      <c r="I27" s="850"/>
      <c r="J27" s="850"/>
      <c r="K27" s="850"/>
      <c r="L27" s="850"/>
      <c r="M27" s="850"/>
      <c r="N27" s="850"/>
      <c r="O27" s="850"/>
      <c r="P27" s="850"/>
      <c r="R27" s="759">
        <f>+G27/'(4)MantenimientoyCambiodeconex'!G26</f>
        <v>1.12</v>
      </c>
      <c r="S27" s="759">
        <f>+H27/'(4)MantenimientoyCambiodeconex'!H26</f>
        <v>1.12</v>
      </c>
      <c r="T27" s="759" t="e">
        <f>+I27/'(4)MantenimientoyCambiodeconex'!I26</f>
        <v>#DIV/0!</v>
      </c>
      <c r="U27" s="759" t="e">
        <f>+J27/'(4)MantenimientoyCambiodeconex'!J26</f>
        <v>#DIV/0!</v>
      </c>
      <c r="V27" s="759" t="e">
        <f>+K27/'(4)MantenimientoyCambiodeconex'!K26</f>
        <v>#DIV/0!</v>
      </c>
      <c r="W27" s="759" t="e">
        <f>+L27/'(4)MantenimientoyCambiodeconex'!L26</f>
        <v>#DIV/0!</v>
      </c>
      <c r="X27" s="759" t="e">
        <f>+M27/'(4)MantenimientoyCambiodeconex'!M26</f>
        <v>#DIV/0!</v>
      </c>
      <c r="Y27" s="759" t="e">
        <f>+N27/'(4)MantenimientoyCambiodeconex'!N26</f>
        <v>#DIV/0!</v>
      </c>
      <c r="Z27" s="759" t="e">
        <f>+O27/'(4)MantenimientoyCambiodeconex'!O26</f>
        <v>#DIV/0!</v>
      </c>
      <c r="AA27" s="759" t="e">
        <f>+P27/'(4)MantenimientoyCambiodeconex'!P26</f>
        <v>#DIV/0!</v>
      </c>
      <c r="AC27" s="759">
        <f>+IF(R27=G27,0,1)</f>
        <v>1</v>
      </c>
      <c r="AD27" s="759">
        <f>+IF(S27=H27,0,1)</f>
        <v>1</v>
      </c>
      <c r="AE27" s="759" t="e">
        <f>+IF(T27=I27,0,1)</f>
        <v>#DIV/0!</v>
      </c>
      <c r="AF27" s="759" t="e">
        <f>+IF(U27=J27,0,1)</f>
        <v>#DIV/0!</v>
      </c>
      <c r="AG27" s="759" t="e">
        <f>+IF(V27=K27,0,1)</f>
        <v>#DIV/0!</v>
      </c>
      <c r="AH27" s="759" t="e">
        <f>+IF(W27=L27,0,1)</f>
        <v>#DIV/0!</v>
      </c>
      <c r="AI27" s="759" t="e">
        <f>+IF(X27=M27,0,1)</f>
        <v>#DIV/0!</v>
      </c>
      <c r="AJ27" s="759" t="e">
        <f>+IF(Y27=N27,0,1)</f>
        <v>#DIV/0!</v>
      </c>
      <c r="AK27" s="759" t="e">
        <f>+IF(Z27=O27,0,1)</f>
        <v>#DIV/0!</v>
      </c>
      <c r="AL27" s="759" t="e">
        <f>+IF(AA27=P27,0,1)</f>
        <v>#DIV/0!</v>
      </c>
      <c r="BK27" s="772"/>
      <c r="BL27" s="772"/>
      <c r="BM27" s="772"/>
      <c r="BN27" s="772"/>
      <c r="BO27" s="772"/>
      <c r="BP27" s="772"/>
      <c r="BQ27" s="769" t="s">
        <v>62</v>
      </c>
      <c r="BR27" s="769" t="s">
        <v>63</v>
      </c>
      <c r="BS27" s="770">
        <f>'(4)MantenimientoyCambiodeconex'!BS26*1.12</f>
        <v>3.01588336</v>
      </c>
    </row>
    <row r="28" spans="2:71" ht="12.75">
      <c r="B28" s="643"/>
      <c r="C28" s="644"/>
      <c r="D28" s="643"/>
      <c r="E28" s="645"/>
      <c r="F28" s="642" t="s">
        <v>272</v>
      </c>
      <c r="G28" s="849">
        <f>+'(4)MantenimientoyCambiodeconex'!G27*1.12</f>
        <v>3.4884180799999998</v>
      </c>
      <c r="H28" s="849">
        <f>+'(4)MantenimientoyCambiodeconex'!H27*1.12</f>
        <v>3.41892768</v>
      </c>
      <c r="I28" s="850"/>
      <c r="J28" s="850"/>
      <c r="K28" s="850"/>
      <c r="L28" s="850"/>
      <c r="M28" s="850"/>
      <c r="N28" s="850"/>
      <c r="O28" s="850"/>
      <c r="P28" s="850"/>
      <c r="R28" s="759">
        <f>+G28/'(4)MantenimientoyCambiodeconex'!G27</f>
        <v>1.12</v>
      </c>
      <c r="S28" s="759">
        <f>+H28/'(4)MantenimientoyCambiodeconex'!H27</f>
        <v>1.12</v>
      </c>
      <c r="T28" s="759" t="e">
        <f>+I28/'(4)MantenimientoyCambiodeconex'!I27</f>
        <v>#DIV/0!</v>
      </c>
      <c r="U28" s="759" t="e">
        <f>+J28/'(4)MantenimientoyCambiodeconex'!J27</f>
        <v>#DIV/0!</v>
      </c>
      <c r="V28" s="759" t="e">
        <f>+K28/'(4)MantenimientoyCambiodeconex'!K27</f>
        <v>#DIV/0!</v>
      </c>
      <c r="W28" s="759" t="e">
        <f>+L28/'(4)MantenimientoyCambiodeconex'!L27</f>
        <v>#DIV/0!</v>
      </c>
      <c r="X28" s="759" t="e">
        <f>+M28/'(4)MantenimientoyCambiodeconex'!M27</f>
        <v>#DIV/0!</v>
      </c>
      <c r="Y28" s="759" t="e">
        <f>+N28/'(4)MantenimientoyCambiodeconex'!N27</f>
        <v>#DIV/0!</v>
      </c>
      <c r="Z28" s="759" t="e">
        <f>+O28/'(4)MantenimientoyCambiodeconex'!O27</f>
        <v>#DIV/0!</v>
      </c>
      <c r="AA28" s="759" t="e">
        <f>+P28/'(4)MantenimientoyCambiodeconex'!P27</f>
        <v>#DIV/0!</v>
      </c>
      <c r="AC28" s="759">
        <f>+IF(R28=G28,0,1)</f>
        <v>1</v>
      </c>
      <c r="AD28" s="759">
        <f>+IF(S28=H28,0,1)</f>
        <v>1</v>
      </c>
      <c r="AE28" s="759" t="e">
        <f>+IF(T28=I28,0,1)</f>
        <v>#DIV/0!</v>
      </c>
      <c r="AF28" s="759" t="e">
        <f>+IF(U28=J28,0,1)</f>
        <v>#DIV/0!</v>
      </c>
      <c r="AG28" s="759" t="e">
        <f>+IF(V28=K28,0,1)</f>
        <v>#DIV/0!</v>
      </c>
      <c r="AH28" s="759" t="e">
        <f>+IF(W28=L28,0,1)</f>
        <v>#DIV/0!</v>
      </c>
      <c r="AI28" s="759" t="e">
        <f>+IF(X28=M28,0,1)</f>
        <v>#DIV/0!</v>
      </c>
      <c r="AJ28" s="759" t="e">
        <f>+IF(Y28=N28,0,1)</f>
        <v>#DIV/0!</v>
      </c>
      <c r="AK28" s="759" t="e">
        <f>+IF(Z28=O28,0,1)</f>
        <v>#DIV/0!</v>
      </c>
      <c r="AL28" s="759" t="e">
        <f>+IF(AA28=P28,0,1)</f>
        <v>#DIV/0!</v>
      </c>
      <c r="BK28" s="772"/>
      <c r="BL28" s="772"/>
      <c r="BM28" s="772"/>
      <c r="BN28" s="772"/>
      <c r="BO28" s="772"/>
      <c r="BP28" s="776"/>
      <c r="BQ28" s="769" t="s">
        <v>66</v>
      </c>
      <c r="BR28" s="769" t="s">
        <v>20</v>
      </c>
      <c r="BS28" s="770">
        <f>'(4)MantenimientoyCambiodeconex'!BS27*1.12</f>
        <v>3.4884180799999998</v>
      </c>
    </row>
    <row r="29" spans="2:71" ht="12.75">
      <c r="B29" s="643"/>
      <c r="C29" s="650" t="s">
        <v>23</v>
      </c>
      <c r="D29" s="640" t="s">
        <v>24</v>
      </c>
      <c r="E29" s="641" t="s">
        <v>25</v>
      </c>
      <c r="F29" s="779" t="s">
        <v>273</v>
      </c>
      <c r="G29" s="849">
        <f>+'(4)MantenimientoyCambiodeconex'!G28*1.12</f>
        <v>4.848084640000001</v>
      </c>
      <c r="H29" s="849">
        <f>+'(4)MantenimientoyCambiodeconex'!H28*1.12</f>
        <v>4.55636608</v>
      </c>
      <c r="I29" s="850"/>
      <c r="J29" s="850"/>
      <c r="K29" s="850"/>
      <c r="L29" s="850"/>
      <c r="M29" s="850"/>
      <c r="N29" s="850"/>
      <c r="O29" s="850"/>
      <c r="P29" s="850"/>
      <c r="R29" s="759">
        <f>+G29/'(4)MantenimientoyCambiodeconex'!G28</f>
        <v>1.12</v>
      </c>
      <c r="S29" s="759">
        <f>+H29/'(4)MantenimientoyCambiodeconex'!H28</f>
        <v>1.12</v>
      </c>
      <c r="T29" s="759" t="e">
        <f>+I29/'(4)MantenimientoyCambiodeconex'!I28</f>
        <v>#DIV/0!</v>
      </c>
      <c r="U29" s="759" t="e">
        <f>+J29/'(4)MantenimientoyCambiodeconex'!J28</f>
        <v>#DIV/0!</v>
      </c>
      <c r="V29" s="759" t="e">
        <f>+K29/'(4)MantenimientoyCambiodeconex'!K28</f>
        <v>#DIV/0!</v>
      </c>
      <c r="W29" s="759" t="e">
        <f>+L29/'(4)MantenimientoyCambiodeconex'!L28</f>
        <v>#DIV/0!</v>
      </c>
      <c r="X29" s="759" t="e">
        <f>+M29/'(4)MantenimientoyCambiodeconex'!M28</f>
        <v>#DIV/0!</v>
      </c>
      <c r="Y29" s="759" t="e">
        <f>+N29/'(4)MantenimientoyCambiodeconex'!N28</f>
        <v>#DIV/0!</v>
      </c>
      <c r="Z29" s="759" t="e">
        <f>+O29/'(4)MantenimientoyCambiodeconex'!O28</f>
        <v>#DIV/0!</v>
      </c>
      <c r="AA29" s="759" t="e">
        <f>+P29/'(4)MantenimientoyCambiodeconex'!P28</f>
        <v>#DIV/0!</v>
      </c>
      <c r="AC29" s="759">
        <f>+IF(R29=G29,0,1)</f>
        <v>1</v>
      </c>
      <c r="AD29" s="759">
        <f>+IF(S29=H29,0,1)</f>
        <v>1</v>
      </c>
      <c r="AE29" s="759" t="e">
        <f>+IF(T29=I29,0,1)</f>
        <v>#DIV/0!</v>
      </c>
      <c r="AF29" s="759" t="e">
        <f>+IF(U29=J29,0,1)</f>
        <v>#DIV/0!</v>
      </c>
      <c r="AG29" s="759" t="e">
        <f>+IF(V29=K29,0,1)</f>
        <v>#DIV/0!</v>
      </c>
      <c r="AH29" s="759" t="e">
        <f>+IF(W29=L29,0,1)</f>
        <v>#DIV/0!</v>
      </c>
      <c r="AI29" s="759" t="e">
        <f>+IF(X29=M29,0,1)</f>
        <v>#DIV/0!</v>
      </c>
      <c r="AJ29" s="759" t="e">
        <f>+IF(Y29=N29,0,1)</f>
        <v>#DIV/0!</v>
      </c>
      <c r="AK29" s="759" t="e">
        <f>+IF(Z29=O29,0,1)</f>
        <v>#DIV/0!</v>
      </c>
      <c r="AL29" s="759" t="e">
        <f>+IF(AA29=P29,0,1)</f>
        <v>#DIV/0!</v>
      </c>
      <c r="BK29" s="772"/>
      <c r="BL29" s="772"/>
      <c r="BM29" s="772"/>
      <c r="BN29" s="772"/>
      <c r="BO29" s="772"/>
      <c r="BP29" s="765" t="s">
        <v>2</v>
      </c>
      <c r="BQ29" s="769" t="s">
        <v>55</v>
      </c>
      <c r="BR29" s="769" t="s">
        <v>56</v>
      </c>
      <c r="BS29" s="770">
        <f>'(4)MantenimientoyCambiodeconex'!BS28*1.12</f>
        <v>0.66710784</v>
      </c>
    </row>
    <row r="30" spans="2:71" ht="12.75">
      <c r="B30" s="643"/>
      <c r="C30" s="650" t="s">
        <v>26</v>
      </c>
      <c r="D30" s="640" t="s">
        <v>27</v>
      </c>
      <c r="E30" s="641" t="s">
        <v>28</v>
      </c>
      <c r="F30" s="642" t="s">
        <v>272</v>
      </c>
      <c r="G30" s="849">
        <f>+'(4)MantenimientoyCambiodeconex'!G29*1.12</f>
        <v>4.848084640000001</v>
      </c>
      <c r="H30" s="849">
        <f>+'(4)MantenimientoyCambiodeconex'!H29*1.12</f>
        <v>4.55636608</v>
      </c>
      <c r="I30" s="850"/>
      <c r="J30" s="850"/>
      <c r="K30" s="850"/>
      <c r="L30" s="850"/>
      <c r="M30" s="850"/>
      <c r="N30" s="850"/>
      <c r="O30" s="850"/>
      <c r="P30" s="850"/>
      <c r="R30" s="759">
        <f>+G30/'(4)MantenimientoyCambiodeconex'!G29</f>
        <v>1.12</v>
      </c>
      <c r="S30" s="759">
        <f>+H30/'(4)MantenimientoyCambiodeconex'!H29</f>
        <v>1.12</v>
      </c>
      <c r="T30" s="759" t="e">
        <f>+I30/'(4)MantenimientoyCambiodeconex'!I29</f>
        <v>#DIV/0!</v>
      </c>
      <c r="U30" s="759" t="e">
        <f>+J30/'(4)MantenimientoyCambiodeconex'!J29</f>
        <v>#DIV/0!</v>
      </c>
      <c r="V30" s="759" t="e">
        <f>+K30/'(4)MantenimientoyCambiodeconex'!K29</f>
        <v>#DIV/0!</v>
      </c>
      <c r="W30" s="759" t="e">
        <f>+L30/'(4)MantenimientoyCambiodeconex'!L29</f>
        <v>#DIV/0!</v>
      </c>
      <c r="X30" s="759" t="e">
        <f>+M30/'(4)MantenimientoyCambiodeconex'!M29</f>
        <v>#DIV/0!</v>
      </c>
      <c r="Y30" s="759" t="e">
        <f>+N30/'(4)MantenimientoyCambiodeconex'!N29</f>
        <v>#DIV/0!</v>
      </c>
      <c r="Z30" s="759" t="e">
        <f>+O30/'(4)MantenimientoyCambiodeconex'!O29</f>
        <v>#DIV/0!</v>
      </c>
      <c r="AA30" s="759" t="e">
        <f>+P30/'(4)MantenimientoyCambiodeconex'!P29</f>
        <v>#DIV/0!</v>
      </c>
      <c r="AC30" s="759">
        <f>+IF(R30=G30,0,1)</f>
        <v>1</v>
      </c>
      <c r="AD30" s="759">
        <f>+IF(S30=H30,0,1)</f>
        <v>1</v>
      </c>
      <c r="AE30" s="759" t="e">
        <f>+IF(T30=I30,0,1)</f>
        <v>#DIV/0!</v>
      </c>
      <c r="AF30" s="759" t="e">
        <f>+IF(U30=J30,0,1)</f>
        <v>#DIV/0!</v>
      </c>
      <c r="AG30" s="759" t="e">
        <f>+IF(V30=K30,0,1)</f>
        <v>#DIV/0!</v>
      </c>
      <c r="AH30" s="759" t="e">
        <f>+IF(W30=L30,0,1)</f>
        <v>#DIV/0!</v>
      </c>
      <c r="AI30" s="759" t="e">
        <f>+IF(X30=M30,0,1)</f>
        <v>#DIV/0!</v>
      </c>
      <c r="AJ30" s="759" t="e">
        <f>+IF(Y30=N30,0,1)</f>
        <v>#DIV/0!</v>
      </c>
      <c r="AK30" s="759" t="e">
        <f>+IF(Z30=O30,0,1)</f>
        <v>#DIV/0!</v>
      </c>
      <c r="AL30" s="759" t="e">
        <f>+IF(AA30=P30,0,1)</f>
        <v>#DIV/0!</v>
      </c>
      <c r="BK30" s="772"/>
      <c r="BL30" s="772"/>
      <c r="BM30" s="772"/>
      <c r="BN30" s="772"/>
      <c r="BO30" s="772"/>
      <c r="BP30" s="772"/>
      <c r="BQ30" s="778" t="s">
        <v>59</v>
      </c>
      <c r="BR30" s="769" t="s">
        <v>185</v>
      </c>
      <c r="BS30" s="770">
        <f>'(4)MantenimientoyCambiodeconex'!BS29*1.12</f>
        <v>1.3759099199999998</v>
      </c>
    </row>
    <row r="31" spans="2:71" ht="12.75">
      <c r="B31" s="643"/>
      <c r="C31" s="644"/>
      <c r="D31" s="777" t="s">
        <v>29</v>
      </c>
      <c r="E31" s="740" t="s">
        <v>30</v>
      </c>
      <c r="F31" s="642" t="s">
        <v>272</v>
      </c>
      <c r="G31" s="849"/>
      <c r="H31" s="849">
        <f>+'(4)MantenimientoyCambiodeconex'!H30*1.12</f>
        <v>4.55636608</v>
      </c>
      <c r="I31" s="850"/>
      <c r="J31" s="850"/>
      <c r="K31" s="850"/>
      <c r="L31" s="850"/>
      <c r="M31" s="850"/>
      <c r="N31" s="850"/>
      <c r="O31" s="850"/>
      <c r="P31" s="850"/>
      <c r="R31" s="759" t="e">
        <f>+G31/'(4)MantenimientoyCambiodeconex'!G30</f>
        <v>#DIV/0!</v>
      </c>
      <c r="S31" s="759">
        <f>+H31/'(4)MantenimientoyCambiodeconex'!H30</f>
        <v>1.12</v>
      </c>
      <c r="T31" s="759" t="e">
        <f>+I31/'(4)MantenimientoyCambiodeconex'!I30</f>
        <v>#DIV/0!</v>
      </c>
      <c r="U31" s="759" t="e">
        <f>+J31/'(4)MantenimientoyCambiodeconex'!J30</f>
        <v>#DIV/0!</v>
      </c>
      <c r="V31" s="759" t="e">
        <f>+K31/'(4)MantenimientoyCambiodeconex'!K30</f>
        <v>#DIV/0!</v>
      </c>
      <c r="W31" s="759" t="e">
        <f>+L31/'(4)MantenimientoyCambiodeconex'!L30</f>
        <v>#DIV/0!</v>
      </c>
      <c r="X31" s="759" t="e">
        <f>+M31/'(4)MantenimientoyCambiodeconex'!M30</f>
        <v>#DIV/0!</v>
      </c>
      <c r="Y31" s="759" t="e">
        <f>+N31/'(4)MantenimientoyCambiodeconex'!N30</f>
        <v>#DIV/0!</v>
      </c>
      <c r="Z31" s="759" t="e">
        <f>+O31/'(4)MantenimientoyCambiodeconex'!O30</f>
        <v>#DIV/0!</v>
      </c>
      <c r="AA31" s="759" t="e">
        <f>+P31/'(4)MantenimientoyCambiodeconex'!P30</f>
        <v>#DIV/0!</v>
      </c>
      <c r="AC31" s="759" t="e">
        <f>+IF(R31=G31,0,1)</f>
        <v>#DIV/0!</v>
      </c>
      <c r="AD31" s="759">
        <f>+IF(S31=H31,0,1)</f>
        <v>1</v>
      </c>
      <c r="AE31" s="759" t="e">
        <f>+IF(T31=I31,0,1)</f>
        <v>#DIV/0!</v>
      </c>
      <c r="AF31" s="759" t="e">
        <f>+IF(U31=J31,0,1)</f>
        <v>#DIV/0!</v>
      </c>
      <c r="AG31" s="759" t="e">
        <f>+IF(V31=K31,0,1)</f>
        <v>#DIV/0!</v>
      </c>
      <c r="AH31" s="759" t="e">
        <f>+IF(W31=L31,0,1)</f>
        <v>#DIV/0!</v>
      </c>
      <c r="AI31" s="759" t="e">
        <f>+IF(X31=M31,0,1)</f>
        <v>#DIV/0!</v>
      </c>
      <c r="AJ31" s="759" t="e">
        <f>+IF(Y31=N31,0,1)</f>
        <v>#DIV/0!</v>
      </c>
      <c r="AK31" s="759" t="e">
        <f>+IF(Z31=O31,0,1)</f>
        <v>#DIV/0!</v>
      </c>
      <c r="AL31" s="759" t="e">
        <f>+IF(AA31=P31,0,1)</f>
        <v>#DIV/0!</v>
      </c>
      <c r="BK31" s="772"/>
      <c r="BL31" s="772"/>
      <c r="BM31" s="772"/>
      <c r="BN31" s="772"/>
      <c r="BO31" s="772"/>
      <c r="BP31" s="772"/>
      <c r="BQ31" s="778" t="s">
        <v>61</v>
      </c>
      <c r="BR31" s="769" t="s">
        <v>185</v>
      </c>
      <c r="BS31" s="770">
        <f>'(4)MantenimientoyCambiodeconex'!BS30*1.12</f>
        <v>1.5287888</v>
      </c>
    </row>
    <row r="32" spans="2:71" ht="12.75">
      <c r="B32" s="643"/>
      <c r="C32" s="644"/>
      <c r="D32" s="777" t="s">
        <v>31</v>
      </c>
      <c r="E32" s="740" t="s">
        <v>32</v>
      </c>
      <c r="F32" s="642" t="s">
        <v>272</v>
      </c>
      <c r="G32" s="849"/>
      <c r="H32" s="849">
        <f>+'(4)MantenimientoyCambiodeconex'!H31*1.12</f>
        <v>4.55636608</v>
      </c>
      <c r="I32" s="850"/>
      <c r="J32" s="850"/>
      <c r="K32" s="850"/>
      <c r="L32" s="850"/>
      <c r="M32" s="850"/>
      <c r="N32" s="850"/>
      <c r="O32" s="850"/>
      <c r="P32" s="850"/>
      <c r="R32" s="759" t="e">
        <f>+G32/'(4)MantenimientoyCambiodeconex'!G31</f>
        <v>#DIV/0!</v>
      </c>
      <c r="S32" s="759">
        <f>+H32/'(4)MantenimientoyCambiodeconex'!H31</f>
        <v>1.12</v>
      </c>
      <c r="T32" s="759" t="e">
        <f>+I32/'(4)MantenimientoyCambiodeconex'!I31</f>
        <v>#DIV/0!</v>
      </c>
      <c r="U32" s="759" t="e">
        <f>+J32/'(4)MantenimientoyCambiodeconex'!J31</f>
        <v>#DIV/0!</v>
      </c>
      <c r="V32" s="759" t="e">
        <f>+K32/'(4)MantenimientoyCambiodeconex'!K31</f>
        <v>#DIV/0!</v>
      </c>
      <c r="W32" s="759" t="e">
        <f>+L32/'(4)MantenimientoyCambiodeconex'!L31</f>
        <v>#DIV/0!</v>
      </c>
      <c r="X32" s="759" t="e">
        <f>+M32/'(4)MantenimientoyCambiodeconex'!M31</f>
        <v>#DIV/0!</v>
      </c>
      <c r="Y32" s="759" t="e">
        <f>+N32/'(4)MantenimientoyCambiodeconex'!N31</f>
        <v>#DIV/0!</v>
      </c>
      <c r="Z32" s="759" t="e">
        <f>+O32/'(4)MantenimientoyCambiodeconex'!O31</f>
        <v>#DIV/0!</v>
      </c>
      <c r="AA32" s="759" t="e">
        <f>+P32/'(4)MantenimientoyCambiodeconex'!P31</f>
        <v>#DIV/0!</v>
      </c>
      <c r="AC32" s="759" t="e">
        <f>+IF(R32=G32,0,1)</f>
        <v>#DIV/0!</v>
      </c>
      <c r="AD32" s="759">
        <f>+IF(S32=H32,0,1)</f>
        <v>1</v>
      </c>
      <c r="AE32" s="759" t="e">
        <f>+IF(T32=I32,0,1)</f>
        <v>#DIV/0!</v>
      </c>
      <c r="AF32" s="759" t="e">
        <f>+IF(U32=J32,0,1)</f>
        <v>#DIV/0!</v>
      </c>
      <c r="AG32" s="759" t="e">
        <f>+IF(V32=K32,0,1)</f>
        <v>#DIV/0!</v>
      </c>
      <c r="AH32" s="759" t="e">
        <f>+IF(W32=L32,0,1)</f>
        <v>#DIV/0!</v>
      </c>
      <c r="AI32" s="759" t="e">
        <f>+IF(X32=M32,0,1)</f>
        <v>#DIV/0!</v>
      </c>
      <c r="AJ32" s="759" t="e">
        <f>+IF(Y32=N32,0,1)</f>
        <v>#DIV/0!</v>
      </c>
      <c r="AK32" s="759" t="e">
        <f>+IF(Z32=O32,0,1)</f>
        <v>#DIV/0!</v>
      </c>
      <c r="AL32" s="759" t="e">
        <f>+IF(AA32=P32,0,1)</f>
        <v>#DIV/0!</v>
      </c>
      <c r="BK32" s="772"/>
      <c r="BL32" s="772"/>
      <c r="BM32" s="772"/>
      <c r="BN32" s="772"/>
      <c r="BO32" s="772"/>
      <c r="BP32" s="772"/>
      <c r="BQ32" s="769" t="s">
        <v>62</v>
      </c>
      <c r="BR32" s="769" t="s">
        <v>63</v>
      </c>
      <c r="BS32" s="770">
        <f>'(4)MantenimientoyCambiodeconex'!BS31*1.12</f>
        <v>2.9463929600000003</v>
      </c>
    </row>
    <row r="33" spans="2:71" ht="12.75">
      <c r="B33" s="647"/>
      <c r="C33" s="654"/>
      <c r="D33" s="780" t="s">
        <v>33</v>
      </c>
      <c r="E33" s="743" t="s">
        <v>34</v>
      </c>
      <c r="F33" s="642" t="s">
        <v>272</v>
      </c>
      <c r="G33" s="849"/>
      <c r="H33" s="849">
        <f>+'(4)MantenimientoyCambiodeconex'!H32*1.12</f>
        <v>4.55636608</v>
      </c>
      <c r="I33" s="850"/>
      <c r="J33" s="850"/>
      <c r="K33" s="850"/>
      <c r="L33" s="850"/>
      <c r="M33" s="850"/>
      <c r="N33" s="850"/>
      <c r="O33" s="850"/>
      <c r="P33" s="850"/>
      <c r="R33" s="759" t="e">
        <f>+G33/'(4)MantenimientoyCambiodeconex'!G32</f>
        <v>#DIV/0!</v>
      </c>
      <c r="S33" s="759">
        <f>+H33/'(4)MantenimientoyCambiodeconex'!H32</f>
        <v>1.12</v>
      </c>
      <c r="T33" s="759" t="e">
        <f>+I33/'(4)MantenimientoyCambiodeconex'!I32</f>
        <v>#DIV/0!</v>
      </c>
      <c r="U33" s="759" t="e">
        <f>+J33/'(4)MantenimientoyCambiodeconex'!J32</f>
        <v>#DIV/0!</v>
      </c>
      <c r="V33" s="759" t="e">
        <f>+K33/'(4)MantenimientoyCambiodeconex'!K32</f>
        <v>#DIV/0!</v>
      </c>
      <c r="W33" s="759" t="e">
        <f>+L33/'(4)MantenimientoyCambiodeconex'!L32</f>
        <v>#DIV/0!</v>
      </c>
      <c r="X33" s="759" t="e">
        <f>+M33/'(4)MantenimientoyCambiodeconex'!M32</f>
        <v>#DIV/0!</v>
      </c>
      <c r="Y33" s="759" t="e">
        <f>+N33/'(4)MantenimientoyCambiodeconex'!N32</f>
        <v>#DIV/0!</v>
      </c>
      <c r="Z33" s="759" t="e">
        <f>+O33/'(4)MantenimientoyCambiodeconex'!O32</f>
        <v>#DIV/0!</v>
      </c>
      <c r="AA33" s="759" t="e">
        <f>+P33/'(4)MantenimientoyCambiodeconex'!P32</f>
        <v>#DIV/0!</v>
      </c>
      <c r="AC33" s="759" t="e">
        <f>+IF(R33=G33,0,1)</f>
        <v>#DIV/0!</v>
      </c>
      <c r="AD33" s="759">
        <f aca="true" t="shared" si="1" ref="AD33:AL33">+IF(S33=H33,0,1)</f>
        <v>1</v>
      </c>
      <c r="AE33" s="759" t="e">
        <f t="shared" si="1"/>
        <v>#DIV/0!</v>
      </c>
      <c r="AF33" s="759" t="e">
        <f t="shared" si="1"/>
        <v>#DIV/0!</v>
      </c>
      <c r="AG33" s="759" t="e">
        <f t="shared" si="1"/>
        <v>#DIV/0!</v>
      </c>
      <c r="AH33" s="759" t="e">
        <f t="shared" si="1"/>
        <v>#DIV/0!</v>
      </c>
      <c r="AI33" s="759" t="e">
        <f t="shared" si="1"/>
        <v>#DIV/0!</v>
      </c>
      <c r="AJ33" s="759" t="e">
        <f t="shared" si="1"/>
        <v>#DIV/0!</v>
      </c>
      <c r="AK33" s="759" t="e">
        <f t="shared" si="1"/>
        <v>#DIV/0!</v>
      </c>
      <c r="AL33" s="759" t="e">
        <f t="shared" si="1"/>
        <v>#DIV/0!</v>
      </c>
      <c r="AM33" s="781" t="e">
        <f>+SUM(AC11:AL33)</f>
        <v>#DIV/0!</v>
      </c>
      <c r="BK33" s="776"/>
      <c r="BL33" s="776"/>
      <c r="BM33" s="776"/>
      <c r="BN33" s="772"/>
      <c r="BO33" s="776"/>
      <c r="BP33" s="772"/>
      <c r="BQ33" s="769" t="s">
        <v>66</v>
      </c>
      <c r="BR33" s="769" t="s">
        <v>20</v>
      </c>
      <c r="BS33" s="770">
        <f>'(4)MantenimientoyCambiodeconex'!BS32*1.12</f>
        <v>3.41892768</v>
      </c>
    </row>
    <row r="34" spans="2:71" ht="12.75">
      <c r="B34" s="762" t="s">
        <v>276</v>
      </c>
      <c r="C34" s="762"/>
      <c r="D34" s="762"/>
      <c r="E34" s="762"/>
      <c r="F34" s="762"/>
      <c r="G34" s="762"/>
      <c r="H34" s="633"/>
      <c r="I34" s="762"/>
      <c r="J34" s="762"/>
      <c r="K34" s="762"/>
      <c r="L34" s="762"/>
      <c r="M34" s="762"/>
      <c r="N34" s="762"/>
      <c r="O34" s="762"/>
      <c r="P34" s="762"/>
      <c r="BK34" s="765" t="s">
        <v>67</v>
      </c>
      <c r="BL34" s="765" t="s">
        <v>68</v>
      </c>
      <c r="BM34" s="782" t="s">
        <v>53</v>
      </c>
      <c r="BN34" s="765" t="s">
        <v>18</v>
      </c>
      <c r="BO34" s="783" t="s">
        <v>69</v>
      </c>
      <c r="BP34" s="765" t="s">
        <v>54</v>
      </c>
      <c r="BQ34" s="769" t="s">
        <v>151</v>
      </c>
      <c r="BR34" s="769" t="s">
        <v>186</v>
      </c>
      <c r="BS34" s="770">
        <f>'(4)MantenimientoyCambiodeconex'!BS33*1.12</f>
        <v>4.834193280000001</v>
      </c>
    </row>
    <row r="35" spans="2:71" ht="12.75">
      <c r="B35" s="762" t="s">
        <v>277</v>
      </c>
      <c r="C35" s="762"/>
      <c r="D35" s="762"/>
      <c r="E35" s="762"/>
      <c r="F35" s="762"/>
      <c r="G35" s="762"/>
      <c r="H35" s="633"/>
      <c r="I35" s="762"/>
      <c r="J35" s="762"/>
      <c r="K35" s="762"/>
      <c r="L35" s="762"/>
      <c r="M35" s="762"/>
      <c r="N35" s="762"/>
      <c r="O35" s="762"/>
      <c r="P35" s="762"/>
      <c r="BK35" s="772"/>
      <c r="BL35" s="776"/>
      <c r="BM35" s="784"/>
      <c r="BN35" s="776"/>
      <c r="BO35" s="785"/>
      <c r="BP35" s="786" t="s">
        <v>2</v>
      </c>
      <c r="BQ35" s="769" t="s">
        <v>151</v>
      </c>
      <c r="BR35" s="769" t="s">
        <v>186</v>
      </c>
      <c r="BS35" s="770">
        <f>'(4)MantenimientoyCambiodeconex'!BS34*1.12</f>
        <v>4.55636608</v>
      </c>
    </row>
    <row r="36" spans="2:71" ht="12.75">
      <c r="B36" s="762" t="s">
        <v>278</v>
      </c>
      <c r="C36" s="762"/>
      <c r="D36" s="762"/>
      <c r="E36" s="762"/>
      <c r="F36" s="762"/>
      <c r="G36" s="762"/>
      <c r="H36" s="633"/>
      <c r="I36" s="762"/>
      <c r="J36" s="762"/>
      <c r="K36" s="762"/>
      <c r="L36" s="762"/>
      <c r="M36" s="762"/>
      <c r="N36" s="762"/>
      <c r="O36" s="762"/>
      <c r="P36" s="762"/>
      <c r="BK36" s="765" t="s">
        <v>37</v>
      </c>
      <c r="BL36" s="787" t="s">
        <v>70</v>
      </c>
      <c r="BM36" s="896" t="s">
        <v>71</v>
      </c>
      <c r="BN36" s="896" t="s">
        <v>18</v>
      </c>
      <c r="BO36" s="897" t="s">
        <v>72</v>
      </c>
      <c r="BP36" s="898" t="s">
        <v>54</v>
      </c>
      <c r="BQ36" s="899" t="s">
        <v>66</v>
      </c>
      <c r="BR36" s="790" t="s">
        <v>40</v>
      </c>
      <c r="BS36" s="770">
        <f>'(4)MantenimientoyCambiodeconex'!BS35*1.12</f>
        <v>14.28031808</v>
      </c>
    </row>
    <row r="37" spans="2:71" ht="12.75">
      <c r="B37" s="762"/>
      <c r="C37" s="762"/>
      <c r="D37" s="762"/>
      <c r="E37" s="762"/>
      <c r="F37" s="762"/>
      <c r="G37" s="762"/>
      <c r="H37" s="633"/>
      <c r="I37" s="762"/>
      <c r="J37" s="762"/>
      <c r="K37" s="762"/>
      <c r="L37" s="762"/>
      <c r="M37" s="762"/>
      <c r="N37" s="762"/>
      <c r="O37" s="762"/>
      <c r="P37" s="762"/>
      <c r="BK37" s="772"/>
      <c r="BL37" s="787"/>
      <c r="BM37" s="776" t="s">
        <v>152</v>
      </c>
      <c r="BN37" s="776"/>
      <c r="BO37" s="900"/>
      <c r="BP37" s="789" t="s">
        <v>2</v>
      </c>
      <c r="BQ37" s="790" t="s">
        <v>66</v>
      </c>
      <c r="BR37" s="790" t="s">
        <v>40</v>
      </c>
      <c r="BS37" s="793">
        <f>'(4)MantenimientoyCambiodeconex'!BS36*1.12</f>
        <v>14.25253536</v>
      </c>
    </row>
    <row r="38" spans="2:71" ht="12.75">
      <c r="B38" s="762"/>
      <c r="C38" s="762"/>
      <c r="D38" s="762"/>
      <c r="E38" s="762"/>
      <c r="F38" s="762"/>
      <c r="G38" s="762"/>
      <c r="H38" s="633"/>
      <c r="I38" s="762"/>
      <c r="J38" s="762"/>
      <c r="K38" s="762"/>
      <c r="L38" s="762"/>
      <c r="M38" s="762"/>
      <c r="N38" s="762"/>
      <c r="O38" s="762"/>
      <c r="P38" s="762"/>
      <c r="BK38" s="772"/>
      <c r="BL38" s="787"/>
      <c r="BM38" s="772" t="s">
        <v>71</v>
      </c>
      <c r="BN38" s="772" t="s">
        <v>18</v>
      </c>
      <c r="BO38" s="897" t="s">
        <v>72</v>
      </c>
      <c r="BP38" s="789" t="s">
        <v>2</v>
      </c>
      <c r="BQ38" s="790" t="s">
        <v>66</v>
      </c>
      <c r="BR38" s="769" t="s">
        <v>40</v>
      </c>
      <c r="BS38" s="793">
        <f>'(4)MantenimientoyCambiodeconex'!BS37*1.12</f>
        <v>14.933212</v>
      </c>
    </row>
    <row r="39" spans="2:71" ht="12.75">
      <c r="B39" s="762"/>
      <c r="C39" s="762"/>
      <c r="D39" s="762"/>
      <c r="E39" s="762"/>
      <c r="F39" s="762"/>
      <c r="G39" s="762"/>
      <c r="H39" s="633"/>
      <c r="I39" s="762"/>
      <c r="J39" s="762"/>
      <c r="K39" s="762"/>
      <c r="L39" s="762"/>
      <c r="M39" s="762"/>
      <c r="N39" s="762"/>
      <c r="O39" s="762"/>
      <c r="P39" s="762"/>
      <c r="BK39" s="772"/>
      <c r="BL39" s="796"/>
      <c r="BM39" s="776" t="s">
        <v>245</v>
      </c>
      <c r="BN39" s="776"/>
      <c r="BO39" s="776"/>
      <c r="BP39" s="794" t="s">
        <v>2</v>
      </c>
      <c r="BQ39" s="769" t="s">
        <v>66</v>
      </c>
      <c r="BR39" s="769" t="s">
        <v>40</v>
      </c>
      <c r="BS39" s="793">
        <f>'(4)MantenimientoyCambiodeconex'!BS38*1.12</f>
        <v>15.238821920000003</v>
      </c>
    </row>
    <row r="40" spans="2:71" ht="15.75">
      <c r="B40" s="632" t="s">
        <v>415</v>
      </c>
      <c r="C40" s="762"/>
      <c r="D40" s="633"/>
      <c r="E40" s="633"/>
      <c r="F40" s="633"/>
      <c r="G40" s="633"/>
      <c r="H40" s="633"/>
      <c r="I40" s="762"/>
      <c r="J40" s="762"/>
      <c r="K40" s="762"/>
      <c r="L40" s="762"/>
      <c r="M40" s="762"/>
      <c r="N40" s="762"/>
      <c r="O40" s="762"/>
      <c r="P40" s="762"/>
      <c r="BK40" s="772"/>
      <c r="BL40" s="787" t="s">
        <v>177</v>
      </c>
      <c r="BM40" s="772" t="s">
        <v>71</v>
      </c>
      <c r="BN40" s="772" t="s">
        <v>18</v>
      </c>
      <c r="BO40" s="788" t="s">
        <v>187</v>
      </c>
      <c r="BP40" s="789" t="s">
        <v>54</v>
      </c>
      <c r="BQ40" s="790" t="s">
        <v>66</v>
      </c>
      <c r="BR40" s="790" t="s">
        <v>40</v>
      </c>
      <c r="BS40" s="793">
        <f>'(4)MantenimientoyCambiodeconex'!BS39*1.12</f>
        <v>14.933212</v>
      </c>
    </row>
    <row r="41" spans="2:71" ht="12.75">
      <c r="B41" s="762"/>
      <c r="C41" s="762"/>
      <c r="D41" s="762"/>
      <c r="E41" s="762"/>
      <c r="F41" s="633"/>
      <c r="G41" s="974" t="s">
        <v>307</v>
      </c>
      <c r="H41" s="975"/>
      <c r="I41" s="974" t="s">
        <v>308</v>
      </c>
      <c r="J41" s="975"/>
      <c r="K41" s="976" t="s">
        <v>309</v>
      </c>
      <c r="L41" s="977"/>
      <c r="M41" s="978" t="s">
        <v>310</v>
      </c>
      <c r="N41" s="979"/>
      <c r="O41" s="762"/>
      <c r="P41" s="762"/>
      <c r="BK41" s="772"/>
      <c r="BL41" s="787"/>
      <c r="BM41" s="772" t="s">
        <v>152</v>
      </c>
      <c r="BN41" s="772"/>
      <c r="BO41" s="772"/>
      <c r="BP41" s="794" t="s">
        <v>2</v>
      </c>
      <c r="BQ41" s="769" t="s">
        <v>66</v>
      </c>
      <c r="BR41" s="769" t="s">
        <v>40</v>
      </c>
      <c r="BS41" s="793">
        <f>'(4)MantenimientoyCambiodeconex'!BS40*1.12</f>
        <v>15.238821920000003</v>
      </c>
    </row>
    <row r="42" spans="2:71" ht="12.75">
      <c r="B42" s="635" t="s">
        <v>6</v>
      </c>
      <c r="C42" s="635" t="s">
        <v>3</v>
      </c>
      <c r="D42" s="635" t="s">
        <v>4</v>
      </c>
      <c r="E42" s="635" t="s">
        <v>7</v>
      </c>
      <c r="F42" s="635" t="s">
        <v>49</v>
      </c>
      <c r="G42" s="635" t="s">
        <v>1</v>
      </c>
      <c r="H42" s="635" t="s">
        <v>2</v>
      </c>
      <c r="I42" s="635" t="s">
        <v>1</v>
      </c>
      <c r="J42" s="635" t="s">
        <v>2</v>
      </c>
      <c r="K42" s="635" t="s">
        <v>1</v>
      </c>
      <c r="L42" s="635" t="s">
        <v>2</v>
      </c>
      <c r="M42" s="635" t="s">
        <v>1</v>
      </c>
      <c r="N42" s="635" t="s">
        <v>2</v>
      </c>
      <c r="O42" s="762"/>
      <c r="P42" s="762"/>
      <c r="BK42" s="772"/>
      <c r="BL42" s="795" t="s">
        <v>177</v>
      </c>
      <c r="BM42" s="765" t="s">
        <v>71</v>
      </c>
      <c r="BN42" s="765" t="s">
        <v>18</v>
      </c>
      <c r="BO42" s="768" t="s">
        <v>187</v>
      </c>
      <c r="BP42" s="794" t="s">
        <v>54</v>
      </c>
      <c r="BQ42" s="769" t="s">
        <v>66</v>
      </c>
      <c r="BR42" s="769" t="s">
        <v>40</v>
      </c>
      <c r="BS42" s="793">
        <f>'(4)MantenimientoyCambiodeconex'!BS41*1.12</f>
        <v>15.919498560000003</v>
      </c>
    </row>
    <row r="43" spans="2:71" ht="12.75">
      <c r="B43" s="658"/>
      <c r="C43" s="658"/>
      <c r="D43" s="658"/>
      <c r="E43" s="658" t="s">
        <v>86</v>
      </c>
      <c r="F43" s="658" t="s">
        <v>304</v>
      </c>
      <c r="G43" s="639" t="s">
        <v>280</v>
      </c>
      <c r="H43" s="639" t="s">
        <v>285</v>
      </c>
      <c r="I43" s="639" t="s">
        <v>280</v>
      </c>
      <c r="J43" s="639" t="s">
        <v>285</v>
      </c>
      <c r="K43" s="639" t="s">
        <v>280</v>
      </c>
      <c r="L43" s="639" t="s">
        <v>285</v>
      </c>
      <c r="M43" s="639" t="s">
        <v>280</v>
      </c>
      <c r="N43" s="639" t="s">
        <v>285</v>
      </c>
      <c r="O43" s="762"/>
      <c r="P43" s="762"/>
      <c r="BK43" s="776"/>
      <c r="BL43" s="796"/>
      <c r="BM43" s="776" t="s">
        <v>245</v>
      </c>
      <c r="BN43" s="776"/>
      <c r="BO43" s="776"/>
      <c r="BP43" s="794" t="s">
        <v>2</v>
      </c>
      <c r="BQ43" s="769" t="s">
        <v>66</v>
      </c>
      <c r="BR43" s="769" t="s">
        <v>40</v>
      </c>
      <c r="BS43" s="793">
        <f>'(4)MantenimientoyCambiodeconex'!BS42*1.12</f>
        <v>15.933389920000002</v>
      </c>
    </row>
    <row r="44" spans="2:71" ht="12.75">
      <c r="B44" s="640" t="s">
        <v>11</v>
      </c>
      <c r="C44" s="640" t="s">
        <v>9</v>
      </c>
      <c r="D44" s="640" t="s">
        <v>10</v>
      </c>
      <c r="E44" s="641" t="s">
        <v>12</v>
      </c>
      <c r="F44" s="660" t="s">
        <v>87</v>
      </c>
      <c r="G44" s="848">
        <f>+'(4)MantenimientoyCambiodeconex'!G42*1.12</f>
        <v>1.20913296</v>
      </c>
      <c r="H44" s="848">
        <f>+'(4)MantenimientoyCambiodeconex'!H42*1.12</f>
        <v>1.08405024</v>
      </c>
      <c r="I44" s="848">
        <f>+'(4)MantenimientoyCambiodeconex'!I42*1.12</f>
        <v>1.2786233599999999</v>
      </c>
      <c r="J44" s="848">
        <f>+'(4)MantenimientoyCambiodeconex'!J42*1.12</f>
        <v>1.1535406400000001</v>
      </c>
      <c r="K44" s="848">
        <f>+'(4)MantenimientoyCambiodeconex'!K42*1.12</f>
        <v>1.50099264</v>
      </c>
      <c r="L44" s="848">
        <f>+'(4)MantenimientoyCambiodeconex'!L42*1.12</f>
        <v>1.3759099199999998</v>
      </c>
      <c r="M44" s="848">
        <f>+'(4)MantenimientoyCambiodeconex'!M42*1.12</f>
        <v>1.57048304</v>
      </c>
      <c r="N44" s="848">
        <f>+'(4)MantenimientoyCambiodeconex'!N42*1.12</f>
        <v>1.44540032</v>
      </c>
      <c r="O44" s="762"/>
      <c r="P44" s="762"/>
      <c r="R44" s="759">
        <f>+G44/'(4)MantenimientoyCambiodeconex'!G42</f>
        <v>1.12</v>
      </c>
      <c r="S44" s="759">
        <f>+H44/'(4)MantenimientoyCambiodeconex'!H42</f>
        <v>1.12</v>
      </c>
      <c r="T44" s="759">
        <f>+I44/'(4)MantenimientoyCambiodeconex'!I42</f>
        <v>1.12</v>
      </c>
      <c r="U44" s="759">
        <f>+J44/'(4)MantenimientoyCambiodeconex'!J42</f>
        <v>1.12</v>
      </c>
      <c r="V44" s="759">
        <f>+K44/'(4)MantenimientoyCambiodeconex'!K42</f>
        <v>1.12</v>
      </c>
      <c r="W44" s="759">
        <f>+L44/'(4)MantenimientoyCambiodeconex'!L42</f>
        <v>1.12</v>
      </c>
      <c r="X44" s="759">
        <f>+M44/'(4)MantenimientoyCambiodeconex'!M42</f>
        <v>1.12</v>
      </c>
      <c r="Y44" s="759">
        <f>+N44/'(4)MantenimientoyCambiodeconex'!N42</f>
        <v>1.12</v>
      </c>
      <c r="AA44" s="759">
        <f>+IF(R44=G44,0,1)</f>
        <v>1</v>
      </c>
      <c r="AB44" s="759">
        <f aca="true" t="shared" si="2" ref="AB44:AH49">+IF(S44=H44,0,1)</f>
        <v>1</v>
      </c>
      <c r="AC44" s="759">
        <f t="shared" si="2"/>
        <v>1</v>
      </c>
      <c r="AD44" s="759">
        <f t="shared" si="2"/>
        <v>1</v>
      </c>
      <c r="AE44" s="759">
        <f t="shared" si="2"/>
        <v>1</v>
      </c>
      <c r="AF44" s="759">
        <f t="shared" si="2"/>
        <v>1</v>
      </c>
      <c r="AG44" s="759">
        <f t="shared" si="2"/>
        <v>1</v>
      </c>
      <c r="AH44" s="759">
        <f>+IF(Y44=N44,0,1)</f>
        <v>1</v>
      </c>
      <c r="BS44" s="895"/>
    </row>
    <row r="45" spans="2:34" ht="12.75">
      <c r="B45" s="775"/>
      <c r="C45" s="775"/>
      <c r="D45" s="797"/>
      <c r="E45" s="797"/>
      <c r="F45" s="660" t="s">
        <v>88</v>
      </c>
      <c r="G45" s="848">
        <f>+'(4)MantenimientoyCambiodeconex'!G43*1.12</f>
        <v>1.20913296</v>
      </c>
      <c r="H45" s="848">
        <f>+'(4)MantenimientoyCambiodeconex'!H43*1.12</f>
        <v>1.08405024</v>
      </c>
      <c r="I45" s="848">
        <f>+'(4)MantenimientoyCambiodeconex'!I43*1.12</f>
        <v>1.2786233599999999</v>
      </c>
      <c r="J45" s="848">
        <f>+'(4)MantenimientoyCambiodeconex'!J43*1.12</f>
        <v>1.1535406400000001</v>
      </c>
      <c r="K45" s="848">
        <f>+'(4)MantenimientoyCambiodeconex'!K43*1.12</f>
        <v>1.50099264</v>
      </c>
      <c r="L45" s="848">
        <f>+'(4)MantenimientoyCambiodeconex'!L43*1.12</f>
        <v>1.3759099199999998</v>
      </c>
      <c r="M45" s="848">
        <f>+'(4)MantenimientoyCambiodeconex'!M43*1.12</f>
        <v>1.57048304</v>
      </c>
      <c r="N45" s="848">
        <f>+'(4)MantenimientoyCambiodeconex'!N43*1.12</f>
        <v>1.44540032</v>
      </c>
      <c r="O45" s="762"/>
      <c r="P45" s="762"/>
      <c r="R45" s="759">
        <f>+G45/'(4)MantenimientoyCambiodeconex'!G43</f>
        <v>1.12</v>
      </c>
      <c r="S45" s="759">
        <f>+H45/'(4)MantenimientoyCambiodeconex'!H43</f>
        <v>1.12</v>
      </c>
      <c r="T45" s="759">
        <f>+I45/'(4)MantenimientoyCambiodeconex'!I43</f>
        <v>1.12</v>
      </c>
      <c r="U45" s="759">
        <f>+J45/'(4)MantenimientoyCambiodeconex'!J43</f>
        <v>1.12</v>
      </c>
      <c r="V45" s="759">
        <f>+K45/'(4)MantenimientoyCambiodeconex'!K43</f>
        <v>1.12</v>
      </c>
      <c r="W45" s="759">
        <f>+L45/'(4)MantenimientoyCambiodeconex'!L43</f>
        <v>1.12</v>
      </c>
      <c r="X45" s="759">
        <f>+M45/'(4)MantenimientoyCambiodeconex'!M43</f>
        <v>1.12</v>
      </c>
      <c r="Y45" s="759">
        <f>+N45/'(4)MantenimientoyCambiodeconex'!N43</f>
        <v>1.12</v>
      </c>
      <c r="AA45" s="759">
        <f>+IF(R45=G45,0,1)</f>
        <v>1</v>
      </c>
      <c r="AB45" s="759">
        <f t="shared" si="2"/>
        <v>1</v>
      </c>
      <c r="AC45" s="759">
        <f t="shared" si="2"/>
        <v>1</v>
      </c>
      <c r="AD45" s="759">
        <f t="shared" si="2"/>
        <v>1</v>
      </c>
      <c r="AE45" s="759">
        <f t="shared" si="2"/>
        <v>1</v>
      </c>
      <c r="AF45" s="759">
        <f t="shared" si="2"/>
        <v>1</v>
      </c>
      <c r="AG45" s="759">
        <f t="shared" si="2"/>
        <v>1</v>
      </c>
      <c r="AH45" s="759">
        <f t="shared" si="2"/>
        <v>1</v>
      </c>
    </row>
    <row r="46" spans="2:34" ht="12.75">
      <c r="B46" s="643"/>
      <c r="C46" s="643"/>
      <c r="D46" s="640" t="s">
        <v>14</v>
      </c>
      <c r="E46" s="641" t="s">
        <v>15</v>
      </c>
      <c r="F46" s="660" t="s">
        <v>87</v>
      </c>
      <c r="G46" s="848">
        <f>+'(4)MantenimientoyCambiodeconex'!G44*1.12</f>
        <v>1.20913296</v>
      </c>
      <c r="H46" s="848">
        <f>+'(4)MantenimientoyCambiodeconex'!H44*1.12</f>
        <v>1.08405024</v>
      </c>
      <c r="I46" s="848">
        <f>+'(4)MantenimientoyCambiodeconex'!I44*1.12</f>
        <v>1.2786233599999999</v>
      </c>
      <c r="J46" s="848">
        <f>+'(4)MantenimientoyCambiodeconex'!J44*1.12</f>
        <v>1.1535406400000001</v>
      </c>
      <c r="K46" s="848">
        <f>+'(4)MantenimientoyCambiodeconex'!K44*1.12</f>
        <v>1.50099264</v>
      </c>
      <c r="L46" s="848">
        <f>+'(4)MantenimientoyCambiodeconex'!L44*1.12</f>
        <v>1.3759099199999998</v>
      </c>
      <c r="M46" s="848">
        <f>+'(4)MantenimientoyCambiodeconex'!M44*1.12</f>
        <v>1.57048304</v>
      </c>
      <c r="N46" s="848">
        <f>+'(4)MantenimientoyCambiodeconex'!N44*1.12</f>
        <v>1.44540032</v>
      </c>
      <c r="O46" s="762"/>
      <c r="P46" s="762"/>
      <c r="R46" s="759">
        <f>+G46/'(4)MantenimientoyCambiodeconex'!G44</f>
        <v>1.12</v>
      </c>
      <c r="S46" s="759">
        <f>+H46/'(4)MantenimientoyCambiodeconex'!H44</f>
        <v>1.12</v>
      </c>
      <c r="T46" s="759">
        <f>+I46/'(4)MantenimientoyCambiodeconex'!I44</f>
        <v>1.12</v>
      </c>
      <c r="U46" s="759">
        <f>+J46/'(4)MantenimientoyCambiodeconex'!J44</f>
        <v>1.12</v>
      </c>
      <c r="V46" s="759">
        <f>+K46/'(4)MantenimientoyCambiodeconex'!K44</f>
        <v>1.12</v>
      </c>
      <c r="W46" s="759">
        <f>+L46/'(4)MantenimientoyCambiodeconex'!L44</f>
        <v>1.12</v>
      </c>
      <c r="X46" s="759">
        <f>+M46/'(4)MantenimientoyCambiodeconex'!M44</f>
        <v>1.12</v>
      </c>
      <c r="Y46" s="759">
        <f>+N46/'(4)MantenimientoyCambiodeconex'!N44</f>
        <v>1.12</v>
      </c>
      <c r="AA46" s="759">
        <f>+IF(R46=G46,0,1)</f>
        <v>1</v>
      </c>
      <c r="AB46" s="759">
        <f t="shared" si="2"/>
        <v>1</v>
      </c>
      <c r="AC46" s="759">
        <f t="shared" si="2"/>
        <v>1</v>
      </c>
      <c r="AD46" s="759">
        <f t="shared" si="2"/>
        <v>1</v>
      </c>
      <c r="AE46" s="759">
        <f t="shared" si="2"/>
        <v>1</v>
      </c>
      <c r="AF46" s="759">
        <f t="shared" si="2"/>
        <v>1</v>
      </c>
      <c r="AG46" s="759">
        <f t="shared" si="2"/>
        <v>1</v>
      </c>
      <c r="AH46" s="759">
        <f t="shared" si="2"/>
        <v>1</v>
      </c>
    </row>
    <row r="47" spans="2:34" ht="12.75">
      <c r="B47" s="797"/>
      <c r="C47" s="797"/>
      <c r="D47" s="797"/>
      <c r="E47" s="662"/>
      <c r="F47" s="660" t="s">
        <v>88</v>
      </c>
      <c r="G47" s="848">
        <f>+'(4)MantenimientoyCambiodeconex'!G45*1.12</f>
        <v>1.20913296</v>
      </c>
      <c r="H47" s="848">
        <f>+'(4)MantenimientoyCambiodeconex'!H45*1.12</f>
        <v>1.08405024</v>
      </c>
      <c r="I47" s="848">
        <f>+'(4)MantenimientoyCambiodeconex'!I45*1.12</f>
        <v>1.2786233599999999</v>
      </c>
      <c r="J47" s="848">
        <f>+'(4)MantenimientoyCambiodeconex'!J45*1.12</f>
        <v>1.1535406400000001</v>
      </c>
      <c r="K47" s="848">
        <f>+'(4)MantenimientoyCambiodeconex'!K45*1.12</f>
        <v>1.50099264</v>
      </c>
      <c r="L47" s="848">
        <f>+'(4)MantenimientoyCambiodeconex'!L45*1.12</f>
        <v>1.3759099199999998</v>
      </c>
      <c r="M47" s="848">
        <f>+'(4)MantenimientoyCambiodeconex'!M45*1.12</f>
        <v>1.57048304</v>
      </c>
      <c r="N47" s="848">
        <f>+'(4)MantenimientoyCambiodeconex'!N45*1.12</f>
        <v>1.44540032</v>
      </c>
      <c r="O47" s="762"/>
      <c r="P47" s="762"/>
      <c r="R47" s="759">
        <f>+G47/'(4)MantenimientoyCambiodeconex'!G45</f>
        <v>1.12</v>
      </c>
      <c r="S47" s="759">
        <f>+H47/'(4)MantenimientoyCambiodeconex'!H45</f>
        <v>1.12</v>
      </c>
      <c r="T47" s="759">
        <f>+I47/'(4)MantenimientoyCambiodeconex'!I45</f>
        <v>1.12</v>
      </c>
      <c r="U47" s="759">
        <f>+J47/'(4)MantenimientoyCambiodeconex'!J45</f>
        <v>1.12</v>
      </c>
      <c r="V47" s="759">
        <f>+K47/'(4)MantenimientoyCambiodeconex'!K45</f>
        <v>1.12</v>
      </c>
      <c r="W47" s="759">
        <f>+L47/'(4)MantenimientoyCambiodeconex'!L45</f>
        <v>1.12</v>
      </c>
      <c r="X47" s="759">
        <f>+M47/'(4)MantenimientoyCambiodeconex'!M45</f>
        <v>1.12</v>
      </c>
      <c r="Y47" s="759">
        <f>+N47/'(4)MantenimientoyCambiodeconex'!N45</f>
        <v>1.12</v>
      </c>
      <c r="AA47" s="759">
        <f>+IF(R47=G47,0,1)</f>
        <v>1</v>
      </c>
      <c r="AB47" s="759">
        <f t="shared" si="2"/>
        <v>1</v>
      </c>
      <c r="AC47" s="759">
        <f t="shared" si="2"/>
        <v>1</v>
      </c>
      <c r="AD47" s="759">
        <f t="shared" si="2"/>
        <v>1</v>
      </c>
      <c r="AE47" s="759">
        <f t="shared" si="2"/>
        <v>1</v>
      </c>
      <c r="AF47" s="759">
        <f t="shared" si="2"/>
        <v>1</v>
      </c>
      <c r="AG47" s="759">
        <f t="shared" si="2"/>
        <v>1</v>
      </c>
      <c r="AH47" s="759">
        <f t="shared" si="2"/>
        <v>1</v>
      </c>
    </row>
    <row r="48" spans="2:34" ht="12.75">
      <c r="B48" s="640" t="s">
        <v>18</v>
      </c>
      <c r="C48" s="640" t="s">
        <v>16</v>
      </c>
      <c r="D48" s="663" t="s">
        <v>17</v>
      </c>
      <c r="E48" s="664" t="s">
        <v>19</v>
      </c>
      <c r="F48" s="663" t="s">
        <v>60</v>
      </c>
      <c r="G48" s="848">
        <f>+'(4)MantenimientoyCambiodeconex'!G46*1.12</f>
        <v>1.44540032</v>
      </c>
      <c r="H48" s="848">
        <f>+'(4)MantenimientoyCambiodeconex'!H46*1.12</f>
        <v>1.3759099199999998</v>
      </c>
      <c r="I48" s="848">
        <f>+'(4)MantenimientoyCambiodeconex'!I46*1.12</f>
        <v>1.44540032</v>
      </c>
      <c r="J48" s="848">
        <f>+'(4)MantenimientoyCambiodeconex'!J46*1.12</f>
        <v>1.3759099199999998</v>
      </c>
      <c r="K48" s="848">
        <f>+'(4)MantenimientoyCambiodeconex'!K46*1.12</f>
        <v>1.6121772799999998</v>
      </c>
      <c r="L48" s="848">
        <f>+'(4)MantenimientoyCambiodeconex'!L46*1.12</f>
        <v>1.5287888</v>
      </c>
      <c r="M48" s="848">
        <f>+'(4)MantenimientoyCambiodeconex'!M46*1.12</f>
        <v>1.6121772799999998</v>
      </c>
      <c r="N48" s="848">
        <f>+'(4)MantenimientoyCambiodeconex'!N46*1.12</f>
        <v>1.5287888</v>
      </c>
      <c r="O48" s="762"/>
      <c r="P48" s="762"/>
      <c r="R48" s="759">
        <f>+G48/'(4)MantenimientoyCambiodeconex'!G46</f>
        <v>1.12</v>
      </c>
      <c r="S48" s="759">
        <f>+H48/'(4)MantenimientoyCambiodeconex'!H46</f>
        <v>1.12</v>
      </c>
      <c r="T48" s="759">
        <f>+I48/'(4)MantenimientoyCambiodeconex'!I46</f>
        <v>1.12</v>
      </c>
      <c r="U48" s="759">
        <f>+J48/'(4)MantenimientoyCambiodeconex'!J46</f>
        <v>1.12</v>
      </c>
      <c r="V48" s="759">
        <f>+K48/'(4)MantenimientoyCambiodeconex'!K46</f>
        <v>1.12</v>
      </c>
      <c r="W48" s="759">
        <f>+L48/'(4)MantenimientoyCambiodeconex'!L46</f>
        <v>1.12</v>
      </c>
      <c r="X48" s="759">
        <f>+M48/'(4)MantenimientoyCambiodeconex'!M46</f>
        <v>1.12</v>
      </c>
      <c r="Y48" s="759">
        <f>+N48/'(4)MantenimientoyCambiodeconex'!N46</f>
        <v>1.12</v>
      </c>
      <c r="AA48" s="759">
        <f>+IF(R48=G48,0,1)</f>
        <v>1</v>
      </c>
      <c r="AB48" s="759">
        <f t="shared" si="2"/>
        <v>1</v>
      </c>
      <c r="AC48" s="759">
        <f t="shared" si="2"/>
        <v>1</v>
      </c>
      <c r="AD48" s="759">
        <f t="shared" si="2"/>
        <v>1</v>
      </c>
      <c r="AE48" s="759">
        <f t="shared" si="2"/>
        <v>1</v>
      </c>
      <c r="AF48" s="759">
        <f t="shared" si="2"/>
        <v>1</v>
      </c>
      <c r="AG48" s="759">
        <f t="shared" si="2"/>
        <v>1</v>
      </c>
      <c r="AH48" s="759">
        <f t="shared" si="2"/>
        <v>1</v>
      </c>
    </row>
    <row r="49" spans="2:35" ht="12.75">
      <c r="B49" s="647"/>
      <c r="C49" s="647"/>
      <c r="D49" s="663" t="s">
        <v>21</v>
      </c>
      <c r="E49" s="666" t="s">
        <v>22</v>
      </c>
      <c r="F49" s="663" t="s">
        <v>60</v>
      </c>
      <c r="G49" s="848">
        <f>+'(4)MantenimientoyCambiodeconex'!G47*1.12</f>
        <v>1.44540032</v>
      </c>
      <c r="H49" s="848">
        <f>+'(4)MantenimientoyCambiodeconex'!H47*1.12</f>
        <v>1.3759099199999998</v>
      </c>
      <c r="I49" s="848">
        <f>+'(4)MantenimientoyCambiodeconex'!I47*1.12</f>
        <v>1.44540032</v>
      </c>
      <c r="J49" s="848">
        <f>+'(4)MantenimientoyCambiodeconex'!J47*1.12</f>
        <v>1.3759099199999998</v>
      </c>
      <c r="K49" s="848">
        <f>+'(4)MantenimientoyCambiodeconex'!K47*1.12</f>
        <v>1.6121772799999998</v>
      </c>
      <c r="L49" s="848">
        <f>+'(4)MantenimientoyCambiodeconex'!L47*1.12</f>
        <v>1.5287888</v>
      </c>
      <c r="M49" s="848">
        <f>+'(4)MantenimientoyCambiodeconex'!M47*1.12</f>
        <v>1.6121772799999998</v>
      </c>
      <c r="N49" s="848">
        <f>+'(4)MantenimientoyCambiodeconex'!N47*1.12</f>
        <v>1.5287888</v>
      </c>
      <c r="O49" s="762"/>
      <c r="P49" s="762"/>
      <c r="R49" s="759">
        <f>+G49/'(4)MantenimientoyCambiodeconex'!G47</f>
        <v>1.12</v>
      </c>
      <c r="S49" s="759">
        <f>+H49/'(4)MantenimientoyCambiodeconex'!H47</f>
        <v>1.12</v>
      </c>
      <c r="T49" s="759">
        <f>+I49/'(4)MantenimientoyCambiodeconex'!I47</f>
        <v>1.12</v>
      </c>
      <c r="U49" s="759">
        <f>+J49/'(4)MantenimientoyCambiodeconex'!J47</f>
        <v>1.12</v>
      </c>
      <c r="V49" s="759">
        <f>+K49/'(4)MantenimientoyCambiodeconex'!K47</f>
        <v>1.12</v>
      </c>
      <c r="W49" s="759">
        <f>+L49/'(4)MantenimientoyCambiodeconex'!L47</f>
        <v>1.12</v>
      </c>
      <c r="X49" s="759">
        <f>+M49/'(4)MantenimientoyCambiodeconex'!M47</f>
        <v>1.12</v>
      </c>
      <c r="Y49" s="759">
        <f>+N49/'(4)MantenimientoyCambiodeconex'!N47</f>
        <v>1.12</v>
      </c>
      <c r="AA49" s="759">
        <f>+IF(R49=G49,0,1)</f>
        <v>1</v>
      </c>
      <c r="AB49" s="759">
        <f t="shared" si="2"/>
        <v>1</v>
      </c>
      <c r="AC49" s="759">
        <f t="shared" si="2"/>
        <v>1</v>
      </c>
      <c r="AD49" s="759">
        <f t="shared" si="2"/>
        <v>1</v>
      </c>
      <c r="AE49" s="759">
        <f t="shared" si="2"/>
        <v>1</v>
      </c>
      <c r="AF49" s="759">
        <f t="shared" si="2"/>
        <v>1</v>
      </c>
      <c r="AG49" s="759">
        <f t="shared" si="2"/>
        <v>1</v>
      </c>
      <c r="AH49" s="759">
        <f t="shared" si="2"/>
        <v>1</v>
      </c>
      <c r="AI49" s="781">
        <f>+SUM(AA44:AH49)</f>
        <v>48</v>
      </c>
    </row>
    <row r="50" spans="2:16" ht="12.75">
      <c r="B50" s="762" t="s">
        <v>281</v>
      </c>
      <c r="C50" s="762"/>
      <c r="D50" s="762"/>
      <c r="E50" s="762"/>
      <c r="F50" s="762"/>
      <c r="G50" s="762"/>
      <c r="H50" s="633"/>
      <c r="I50" s="762"/>
      <c r="J50" s="762"/>
      <c r="K50" s="762"/>
      <c r="L50" s="762"/>
      <c r="M50" s="762"/>
      <c r="N50" s="762"/>
      <c r="O50" s="762"/>
      <c r="P50" s="762"/>
    </row>
    <row r="51" spans="2:16" ht="12.75">
      <c r="B51" s="762" t="s">
        <v>284</v>
      </c>
      <c r="C51" s="762"/>
      <c r="D51" s="762"/>
      <c r="E51" s="762"/>
      <c r="F51" s="762"/>
      <c r="G51" s="762"/>
      <c r="H51" s="762"/>
      <c r="I51" s="762"/>
      <c r="J51" s="762"/>
      <c r="K51" s="762"/>
      <c r="L51" s="762"/>
      <c r="M51" s="762"/>
      <c r="N51" s="762"/>
      <c r="O51" s="762"/>
      <c r="P51" s="762"/>
    </row>
    <row r="52" spans="2:16" ht="12.75"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</row>
    <row r="53" spans="2:16" ht="12.75"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</row>
    <row r="54" spans="2:16" ht="12.75"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</row>
    <row r="55" spans="2:16" ht="12.75"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</row>
    <row r="56" spans="2:16" ht="15.75">
      <c r="B56" s="632" t="s">
        <v>416</v>
      </c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</row>
    <row r="57" spans="2:16" ht="12.75">
      <c r="B57" s="762"/>
      <c r="C57" s="762"/>
      <c r="D57" s="633"/>
      <c r="E57" s="633"/>
      <c r="F57" s="633"/>
      <c r="G57" s="633"/>
      <c r="H57" s="633"/>
      <c r="I57" s="978" t="s">
        <v>307</v>
      </c>
      <c r="J57" s="979"/>
      <c r="K57" s="978" t="s">
        <v>308</v>
      </c>
      <c r="L57" s="979"/>
      <c r="M57" s="978" t="s">
        <v>309</v>
      </c>
      <c r="N57" s="979"/>
      <c r="O57" s="978" t="s">
        <v>310</v>
      </c>
      <c r="P57" s="979"/>
    </row>
    <row r="58" spans="2:16" ht="12.75">
      <c r="B58" s="635" t="s">
        <v>6</v>
      </c>
      <c r="C58" s="636" t="s">
        <v>3</v>
      </c>
      <c r="D58" s="635" t="s">
        <v>4</v>
      </c>
      <c r="E58" s="635" t="s">
        <v>7</v>
      </c>
      <c r="F58" s="635" t="s">
        <v>49</v>
      </c>
      <c r="G58" s="635" t="s">
        <v>1</v>
      </c>
      <c r="H58" s="635" t="s">
        <v>2</v>
      </c>
      <c r="I58" s="635" t="s">
        <v>1</v>
      </c>
      <c r="J58" s="635" t="s">
        <v>2</v>
      </c>
      <c r="K58" s="635" t="s">
        <v>1</v>
      </c>
      <c r="L58" s="635" t="s">
        <v>2</v>
      </c>
      <c r="M58" s="635" t="s">
        <v>1</v>
      </c>
      <c r="N58" s="635" t="s">
        <v>2</v>
      </c>
      <c r="O58" s="635" t="s">
        <v>1</v>
      </c>
      <c r="P58" s="635" t="s">
        <v>2</v>
      </c>
    </row>
    <row r="59" spans="2:16" ht="12.75">
      <c r="B59" s="637"/>
      <c r="C59" s="638"/>
      <c r="D59" s="637"/>
      <c r="E59" s="637" t="s">
        <v>86</v>
      </c>
      <c r="F59" s="637" t="s">
        <v>304</v>
      </c>
      <c r="G59" s="639" t="s">
        <v>280</v>
      </c>
      <c r="H59" s="637" t="s">
        <v>285</v>
      </c>
      <c r="I59" s="639" t="s">
        <v>280</v>
      </c>
      <c r="J59" s="639" t="s">
        <v>274</v>
      </c>
      <c r="K59" s="639" t="s">
        <v>280</v>
      </c>
      <c r="L59" s="639" t="s">
        <v>274</v>
      </c>
      <c r="M59" s="639" t="s">
        <v>280</v>
      </c>
      <c r="N59" s="639" t="s">
        <v>274</v>
      </c>
      <c r="O59" s="639" t="s">
        <v>280</v>
      </c>
      <c r="P59" s="639" t="s">
        <v>274</v>
      </c>
    </row>
    <row r="60" spans="2:38" ht="12.75">
      <c r="B60" s="640" t="s">
        <v>18</v>
      </c>
      <c r="C60" s="650" t="s">
        <v>16</v>
      </c>
      <c r="D60" s="640" t="s">
        <v>17</v>
      </c>
      <c r="E60" s="641" t="s">
        <v>19</v>
      </c>
      <c r="F60" s="642" t="s">
        <v>63</v>
      </c>
      <c r="G60" s="849">
        <f>+'(4)MantenimientoyCambiodeconex'!G58*1.12</f>
        <v>3.0297814400000003</v>
      </c>
      <c r="H60" s="849">
        <f>+'(4)MantenimientoyCambiodeconex'!H58*1.12</f>
        <v>2.9463929600000003</v>
      </c>
      <c r="I60" s="850"/>
      <c r="J60" s="850"/>
      <c r="K60" s="850"/>
      <c r="L60" s="850"/>
      <c r="M60" s="850"/>
      <c r="N60" s="850"/>
      <c r="O60" s="850"/>
      <c r="P60" s="850"/>
      <c r="R60" s="759">
        <f>+G60/'(4)MantenimientoyCambiodeconex'!G58</f>
        <v>1.12</v>
      </c>
      <c r="S60" s="759">
        <f>+H60/'(4)MantenimientoyCambiodeconex'!H58</f>
        <v>1.12</v>
      </c>
      <c r="T60" s="759" t="e">
        <f>+I60/'(4)MantenimientoyCambiodeconex'!I58</f>
        <v>#DIV/0!</v>
      </c>
      <c r="U60" s="759" t="e">
        <f>+J60/'(4)MantenimientoyCambiodeconex'!J58</f>
        <v>#DIV/0!</v>
      </c>
      <c r="V60" s="759" t="e">
        <f>+K60/'(4)MantenimientoyCambiodeconex'!K58</f>
        <v>#DIV/0!</v>
      </c>
      <c r="W60" s="759" t="e">
        <f>+L60/'(4)MantenimientoyCambiodeconex'!L58</f>
        <v>#DIV/0!</v>
      </c>
      <c r="X60" s="759" t="e">
        <f>+M60/'(4)MantenimientoyCambiodeconex'!M58</f>
        <v>#DIV/0!</v>
      </c>
      <c r="Y60" s="759" t="e">
        <f>+N60/'(4)MantenimientoyCambiodeconex'!N58</f>
        <v>#DIV/0!</v>
      </c>
      <c r="Z60" s="759" t="e">
        <f>+O60/'(4)MantenimientoyCambiodeconex'!O58</f>
        <v>#DIV/0!</v>
      </c>
      <c r="AA60" s="759" t="e">
        <f>+P60/'(4)MantenimientoyCambiodeconex'!P58</f>
        <v>#DIV/0!</v>
      </c>
      <c r="AC60" s="759">
        <f>+IF(R60=G60,0,1)</f>
        <v>1</v>
      </c>
      <c r="AD60" s="759">
        <f aca="true" t="shared" si="3" ref="AD60:AL72">+IF(S60=H60,0,1)</f>
        <v>1</v>
      </c>
      <c r="AE60" s="759" t="e">
        <f t="shared" si="3"/>
        <v>#DIV/0!</v>
      </c>
      <c r="AF60" s="759" t="e">
        <f t="shared" si="3"/>
        <v>#DIV/0!</v>
      </c>
      <c r="AG60" s="759" t="e">
        <f t="shared" si="3"/>
        <v>#DIV/0!</v>
      </c>
      <c r="AH60" s="759" t="e">
        <f t="shared" si="3"/>
        <v>#DIV/0!</v>
      </c>
      <c r="AI60" s="759" t="e">
        <f t="shared" si="3"/>
        <v>#DIV/0!</v>
      </c>
      <c r="AJ60" s="759" t="e">
        <f t="shared" si="3"/>
        <v>#DIV/0!</v>
      </c>
      <c r="AK60" s="759" t="e">
        <f t="shared" si="3"/>
        <v>#DIV/0!</v>
      </c>
      <c r="AL60" s="759" t="e">
        <f t="shared" si="3"/>
        <v>#DIV/0!</v>
      </c>
    </row>
    <row r="61" spans="2:38" ht="12.75">
      <c r="B61" s="643"/>
      <c r="C61" s="644"/>
      <c r="D61" s="643"/>
      <c r="E61" s="645"/>
      <c r="F61" s="642" t="s">
        <v>60</v>
      </c>
      <c r="G61" s="849"/>
      <c r="H61" s="849"/>
      <c r="I61" s="849">
        <f>+'(4)MantenimientoyCambiodeconex'!I59*1.12</f>
        <v>1.44540032</v>
      </c>
      <c r="J61" s="849">
        <f>+'(4)MantenimientoyCambiodeconex'!J59*1.12</f>
        <v>1.3759099199999998</v>
      </c>
      <c r="K61" s="849">
        <f>+'(4)MantenimientoyCambiodeconex'!K59*1.12</f>
        <v>1.44540032</v>
      </c>
      <c r="L61" s="849">
        <f>+'(4)MantenimientoyCambiodeconex'!L59*1.12</f>
        <v>1.3759099199999998</v>
      </c>
      <c r="M61" s="849">
        <f>+'(4)MantenimientoyCambiodeconex'!M59*1.12</f>
        <v>1.6121772799999998</v>
      </c>
      <c r="N61" s="849">
        <f>+'(4)MantenimientoyCambiodeconex'!N59*1.12</f>
        <v>1.5287888</v>
      </c>
      <c r="O61" s="849">
        <f>+'(4)MantenimientoyCambiodeconex'!O59*1.12</f>
        <v>1.6121772799999998</v>
      </c>
      <c r="P61" s="849">
        <f>+'(4)MantenimientoyCambiodeconex'!P59*1.12</f>
        <v>1.5287888</v>
      </c>
      <c r="R61" s="759" t="e">
        <f>+G61/'(4)MantenimientoyCambiodeconex'!G59</f>
        <v>#DIV/0!</v>
      </c>
      <c r="S61" s="759" t="e">
        <f>+H61/'(4)MantenimientoyCambiodeconex'!H59</f>
        <v>#DIV/0!</v>
      </c>
      <c r="T61" s="759">
        <f>+I61/'(4)MantenimientoyCambiodeconex'!I59</f>
        <v>1.12</v>
      </c>
      <c r="U61" s="759">
        <f>+J61/'(4)MantenimientoyCambiodeconex'!J59</f>
        <v>1.12</v>
      </c>
      <c r="V61" s="759">
        <f>+K61/'(4)MantenimientoyCambiodeconex'!K59</f>
        <v>1.12</v>
      </c>
      <c r="W61" s="759">
        <f>+L61/'(4)MantenimientoyCambiodeconex'!L59</f>
        <v>1.12</v>
      </c>
      <c r="X61" s="759">
        <f>+M61/'(4)MantenimientoyCambiodeconex'!M59</f>
        <v>1.12</v>
      </c>
      <c r="Y61" s="759">
        <f>+N61/'(4)MantenimientoyCambiodeconex'!N59</f>
        <v>1.12</v>
      </c>
      <c r="Z61" s="759">
        <f>+O61/'(4)MantenimientoyCambiodeconex'!O59</f>
        <v>1.12</v>
      </c>
      <c r="AA61" s="759">
        <f>+P61/'(4)MantenimientoyCambiodeconex'!P59</f>
        <v>1.12</v>
      </c>
      <c r="AC61" s="759" t="e">
        <f aca="true" t="shared" si="4" ref="AC61:AC72">+IF(R61=G61,0,1)</f>
        <v>#DIV/0!</v>
      </c>
      <c r="AD61" s="759" t="e">
        <f t="shared" si="3"/>
        <v>#DIV/0!</v>
      </c>
      <c r="AE61" s="759">
        <f t="shared" si="3"/>
        <v>1</v>
      </c>
      <c r="AF61" s="759">
        <f t="shared" si="3"/>
        <v>1</v>
      </c>
      <c r="AG61" s="759">
        <f t="shared" si="3"/>
        <v>1</v>
      </c>
      <c r="AH61" s="759">
        <f t="shared" si="3"/>
        <v>1</v>
      </c>
      <c r="AI61" s="759">
        <f t="shared" si="3"/>
        <v>1</v>
      </c>
      <c r="AJ61" s="759">
        <f t="shared" si="3"/>
        <v>1</v>
      </c>
      <c r="AK61" s="759">
        <f t="shared" si="3"/>
        <v>1</v>
      </c>
      <c r="AL61" s="759">
        <f t="shared" si="3"/>
        <v>1</v>
      </c>
    </row>
    <row r="62" spans="2:38" ht="12.75">
      <c r="B62" s="643"/>
      <c r="C62" s="644"/>
      <c r="D62" s="643"/>
      <c r="E62" s="645"/>
      <c r="F62" s="642" t="s">
        <v>56</v>
      </c>
      <c r="G62" s="849">
        <f>+'(4)MantenimientoyCambiodeconex'!G60*1.12</f>
        <v>0.75049632</v>
      </c>
      <c r="H62" s="849">
        <f>+'(4)MantenimientoyCambiodeconex'!H60*1.12</f>
        <v>0.66710784</v>
      </c>
      <c r="I62" s="850"/>
      <c r="J62" s="850"/>
      <c r="K62" s="850"/>
      <c r="L62" s="850"/>
      <c r="M62" s="850"/>
      <c r="N62" s="850"/>
      <c r="O62" s="850"/>
      <c r="P62" s="850"/>
      <c r="R62" s="759">
        <f>+G62/'(4)MantenimientoyCambiodeconex'!G60</f>
        <v>1.12</v>
      </c>
      <c r="S62" s="759">
        <f>+H62/'(4)MantenimientoyCambiodeconex'!H60</f>
        <v>1.12</v>
      </c>
      <c r="T62" s="759" t="e">
        <f>+I62/'(4)MantenimientoyCambiodeconex'!I60</f>
        <v>#DIV/0!</v>
      </c>
      <c r="U62" s="759" t="e">
        <f>+J62/'(4)MantenimientoyCambiodeconex'!J60</f>
        <v>#DIV/0!</v>
      </c>
      <c r="V62" s="759" t="e">
        <f>+K62/'(4)MantenimientoyCambiodeconex'!K60</f>
        <v>#DIV/0!</v>
      </c>
      <c r="W62" s="759" t="e">
        <f>+L62/'(4)MantenimientoyCambiodeconex'!L60</f>
        <v>#DIV/0!</v>
      </c>
      <c r="X62" s="759" t="e">
        <f>+M62/'(4)MantenimientoyCambiodeconex'!M60</f>
        <v>#DIV/0!</v>
      </c>
      <c r="Y62" s="759" t="e">
        <f>+N62/'(4)MantenimientoyCambiodeconex'!N60</f>
        <v>#DIV/0!</v>
      </c>
      <c r="Z62" s="759" t="e">
        <f>+O62/'(4)MantenimientoyCambiodeconex'!O60</f>
        <v>#DIV/0!</v>
      </c>
      <c r="AA62" s="759" t="e">
        <f>+P62/'(4)MantenimientoyCambiodeconex'!P60</f>
        <v>#DIV/0!</v>
      </c>
      <c r="AC62" s="759">
        <f t="shared" si="4"/>
        <v>1</v>
      </c>
      <c r="AD62" s="759">
        <f t="shared" si="3"/>
        <v>1</v>
      </c>
      <c r="AE62" s="759" t="e">
        <f t="shared" si="3"/>
        <v>#DIV/0!</v>
      </c>
      <c r="AF62" s="759" t="e">
        <f t="shared" si="3"/>
        <v>#DIV/0!</v>
      </c>
      <c r="AG62" s="759" t="e">
        <f t="shared" si="3"/>
        <v>#DIV/0!</v>
      </c>
      <c r="AH62" s="759" t="e">
        <f t="shared" si="3"/>
        <v>#DIV/0!</v>
      </c>
      <c r="AI62" s="759" t="e">
        <f t="shared" si="3"/>
        <v>#DIV/0!</v>
      </c>
      <c r="AJ62" s="759" t="e">
        <f t="shared" si="3"/>
        <v>#DIV/0!</v>
      </c>
      <c r="AK62" s="759" t="e">
        <f t="shared" si="3"/>
        <v>#DIV/0!</v>
      </c>
      <c r="AL62" s="759" t="e">
        <f t="shared" si="3"/>
        <v>#DIV/0!</v>
      </c>
    </row>
    <row r="63" spans="2:38" ht="12.75">
      <c r="B63" s="643"/>
      <c r="C63" s="644"/>
      <c r="D63" s="643"/>
      <c r="E63" s="645"/>
      <c r="F63" s="642" t="s">
        <v>272</v>
      </c>
      <c r="G63" s="849">
        <f>+'(4)MantenimientoyCambiodeconex'!G61*1.12</f>
        <v>3.4884180799999998</v>
      </c>
      <c r="H63" s="849">
        <f>+'(4)MantenimientoyCambiodeconex'!H61*1.12</f>
        <v>3.41892768</v>
      </c>
      <c r="I63" s="850"/>
      <c r="J63" s="850"/>
      <c r="K63" s="850"/>
      <c r="L63" s="850"/>
      <c r="M63" s="850"/>
      <c r="N63" s="850"/>
      <c r="O63" s="850"/>
      <c r="P63" s="850"/>
      <c r="R63" s="759">
        <f>+G63/'(4)MantenimientoyCambiodeconex'!G61</f>
        <v>1.12</v>
      </c>
      <c r="S63" s="759">
        <f>+H63/'(4)MantenimientoyCambiodeconex'!H61</f>
        <v>1.12</v>
      </c>
      <c r="T63" s="759" t="e">
        <f>+I63/'(4)MantenimientoyCambiodeconex'!I61</f>
        <v>#DIV/0!</v>
      </c>
      <c r="U63" s="759" t="e">
        <f>+J63/'(4)MantenimientoyCambiodeconex'!J61</f>
        <v>#DIV/0!</v>
      </c>
      <c r="V63" s="759" t="e">
        <f>+K63/'(4)MantenimientoyCambiodeconex'!K61</f>
        <v>#DIV/0!</v>
      </c>
      <c r="W63" s="759" t="e">
        <f>+L63/'(4)MantenimientoyCambiodeconex'!L61</f>
        <v>#DIV/0!</v>
      </c>
      <c r="X63" s="759" t="e">
        <f>+M63/'(4)MantenimientoyCambiodeconex'!M61</f>
        <v>#DIV/0!</v>
      </c>
      <c r="Y63" s="759" t="e">
        <f>+N63/'(4)MantenimientoyCambiodeconex'!N61</f>
        <v>#DIV/0!</v>
      </c>
      <c r="Z63" s="759" t="e">
        <f>+O63/'(4)MantenimientoyCambiodeconex'!O61</f>
        <v>#DIV/0!</v>
      </c>
      <c r="AA63" s="759" t="e">
        <f>+P63/'(4)MantenimientoyCambiodeconex'!P61</f>
        <v>#DIV/0!</v>
      </c>
      <c r="AC63" s="759">
        <f t="shared" si="4"/>
        <v>1</v>
      </c>
      <c r="AD63" s="759">
        <f t="shared" si="3"/>
        <v>1</v>
      </c>
      <c r="AE63" s="759" t="e">
        <f t="shared" si="3"/>
        <v>#DIV/0!</v>
      </c>
      <c r="AF63" s="759" t="e">
        <f t="shared" si="3"/>
        <v>#DIV/0!</v>
      </c>
      <c r="AG63" s="759" t="e">
        <f t="shared" si="3"/>
        <v>#DIV/0!</v>
      </c>
      <c r="AH63" s="759" t="e">
        <f t="shared" si="3"/>
        <v>#DIV/0!</v>
      </c>
      <c r="AI63" s="759" t="e">
        <f t="shared" si="3"/>
        <v>#DIV/0!</v>
      </c>
      <c r="AJ63" s="759" t="e">
        <f t="shared" si="3"/>
        <v>#DIV/0!</v>
      </c>
      <c r="AK63" s="759" t="e">
        <f t="shared" si="3"/>
        <v>#DIV/0!</v>
      </c>
      <c r="AL63" s="759" t="e">
        <f t="shared" si="3"/>
        <v>#DIV/0!</v>
      </c>
    </row>
    <row r="64" spans="2:38" ht="12.75">
      <c r="B64" s="643"/>
      <c r="C64" s="644"/>
      <c r="D64" s="777" t="s">
        <v>21</v>
      </c>
      <c r="E64" s="740" t="s">
        <v>22</v>
      </c>
      <c r="F64" s="642" t="s">
        <v>63</v>
      </c>
      <c r="G64" s="849">
        <f>+'(4)MantenimientoyCambiodeconex'!G62*1.12</f>
        <v>3.0297814400000003</v>
      </c>
      <c r="H64" s="849">
        <f>+'(4)MantenimientoyCambiodeconex'!H62*1.12</f>
        <v>2.9463929600000003</v>
      </c>
      <c r="I64" s="850"/>
      <c r="J64" s="850"/>
      <c r="K64" s="850"/>
      <c r="L64" s="850"/>
      <c r="M64" s="850"/>
      <c r="N64" s="850"/>
      <c r="O64" s="850"/>
      <c r="P64" s="850"/>
      <c r="R64" s="759">
        <f>+G64/'(4)MantenimientoyCambiodeconex'!G62</f>
        <v>1.12</v>
      </c>
      <c r="S64" s="759">
        <f>+H64/'(4)MantenimientoyCambiodeconex'!H62</f>
        <v>1.12</v>
      </c>
      <c r="T64" s="759" t="e">
        <f>+I64/'(4)MantenimientoyCambiodeconex'!I62</f>
        <v>#DIV/0!</v>
      </c>
      <c r="U64" s="759" t="e">
        <f>+J64/'(4)MantenimientoyCambiodeconex'!J62</f>
        <v>#DIV/0!</v>
      </c>
      <c r="V64" s="759" t="e">
        <f>+K64/'(4)MantenimientoyCambiodeconex'!K62</f>
        <v>#DIV/0!</v>
      </c>
      <c r="W64" s="759" t="e">
        <f>+L64/'(4)MantenimientoyCambiodeconex'!L62</f>
        <v>#DIV/0!</v>
      </c>
      <c r="X64" s="759" t="e">
        <f>+M64/'(4)MantenimientoyCambiodeconex'!M62</f>
        <v>#DIV/0!</v>
      </c>
      <c r="Y64" s="759" t="e">
        <f>+N64/'(4)MantenimientoyCambiodeconex'!N62</f>
        <v>#DIV/0!</v>
      </c>
      <c r="Z64" s="759" t="e">
        <f>+O64/'(4)MantenimientoyCambiodeconex'!O62</f>
        <v>#DIV/0!</v>
      </c>
      <c r="AA64" s="759" t="e">
        <f>+P64/'(4)MantenimientoyCambiodeconex'!P62</f>
        <v>#DIV/0!</v>
      </c>
      <c r="AC64" s="759">
        <f t="shared" si="4"/>
        <v>1</v>
      </c>
      <c r="AD64" s="759">
        <f t="shared" si="3"/>
        <v>1</v>
      </c>
      <c r="AE64" s="759" t="e">
        <f t="shared" si="3"/>
        <v>#DIV/0!</v>
      </c>
      <c r="AF64" s="759" t="e">
        <f t="shared" si="3"/>
        <v>#DIV/0!</v>
      </c>
      <c r="AG64" s="759" t="e">
        <f t="shared" si="3"/>
        <v>#DIV/0!</v>
      </c>
      <c r="AH64" s="759" t="e">
        <f t="shared" si="3"/>
        <v>#DIV/0!</v>
      </c>
      <c r="AI64" s="759" t="e">
        <f t="shared" si="3"/>
        <v>#DIV/0!</v>
      </c>
      <c r="AJ64" s="759" t="e">
        <f t="shared" si="3"/>
        <v>#DIV/0!</v>
      </c>
      <c r="AK64" s="759" t="e">
        <f t="shared" si="3"/>
        <v>#DIV/0!</v>
      </c>
      <c r="AL64" s="759" t="e">
        <f t="shared" si="3"/>
        <v>#DIV/0!</v>
      </c>
    </row>
    <row r="65" spans="2:38" ht="12.75">
      <c r="B65" s="643"/>
      <c r="C65" s="644"/>
      <c r="D65" s="643"/>
      <c r="E65" s="645"/>
      <c r="F65" s="642" t="s">
        <v>60</v>
      </c>
      <c r="G65" s="849"/>
      <c r="H65" s="849"/>
      <c r="I65" s="849">
        <f>+'(4)MantenimientoyCambiodeconex'!I63*1.12</f>
        <v>1.44540032</v>
      </c>
      <c r="J65" s="849">
        <f>+'(4)MantenimientoyCambiodeconex'!J63*1.12</f>
        <v>1.3759099199999998</v>
      </c>
      <c r="K65" s="849">
        <f>+'(4)MantenimientoyCambiodeconex'!K63*1.12</f>
        <v>1.44540032</v>
      </c>
      <c r="L65" s="849">
        <f>+'(4)MantenimientoyCambiodeconex'!L63*1.12</f>
        <v>1.3759099199999998</v>
      </c>
      <c r="M65" s="849">
        <f>+'(4)MantenimientoyCambiodeconex'!M63*1.12</f>
        <v>1.6121772799999998</v>
      </c>
      <c r="N65" s="849">
        <f>+'(4)MantenimientoyCambiodeconex'!N63*1.12</f>
        <v>1.5287888</v>
      </c>
      <c r="O65" s="849">
        <f>+'(4)MantenimientoyCambiodeconex'!O63*1.12</f>
        <v>1.6121772799999998</v>
      </c>
      <c r="P65" s="849">
        <f>+'(4)MantenimientoyCambiodeconex'!P63*1.12</f>
        <v>1.5287888</v>
      </c>
      <c r="R65" s="759" t="e">
        <f>+G65/'(4)MantenimientoyCambiodeconex'!G63</f>
        <v>#DIV/0!</v>
      </c>
      <c r="S65" s="759" t="e">
        <f>+H65/'(4)MantenimientoyCambiodeconex'!H63</f>
        <v>#DIV/0!</v>
      </c>
      <c r="T65" s="759">
        <f>+I65/'(4)MantenimientoyCambiodeconex'!I63</f>
        <v>1.12</v>
      </c>
      <c r="U65" s="759">
        <f>+J65/'(4)MantenimientoyCambiodeconex'!J63</f>
        <v>1.12</v>
      </c>
      <c r="V65" s="759">
        <f>+K65/'(4)MantenimientoyCambiodeconex'!K63</f>
        <v>1.12</v>
      </c>
      <c r="W65" s="759">
        <f>+L65/'(4)MantenimientoyCambiodeconex'!L63</f>
        <v>1.12</v>
      </c>
      <c r="X65" s="759">
        <f>+M65/'(4)MantenimientoyCambiodeconex'!M63</f>
        <v>1.12</v>
      </c>
      <c r="Y65" s="759">
        <f>+N65/'(4)MantenimientoyCambiodeconex'!N63</f>
        <v>1.12</v>
      </c>
      <c r="Z65" s="759">
        <f>+O65/'(4)MantenimientoyCambiodeconex'!O63</f>
        <v>1.12</v>
      </c>
      <c r="AA65" s="759">
        <f>+P65/'(4)MantenimientoyCambiodeconex'!P63</f>
        <v>1.12</v>
      </c>
      <c r="AC65" s="759" t="e">
        <f t="shared" si="4"/>
        <v>#DIV/0!</v>
      </c>
      <c r="AD65" s="759" t="e">
        <f t="shared" si="3"/>
        <v>#DIV/0!</v>
      </c>
      <c r="AE65" s="759">
        <f t="shared" si="3"/>
        <v>1</v>
      </c>
      <c r="AF65" s="759">
        <f t="shared" si="3"/>
        <v>1</v>
      </c>
      <c r="AG65" s="759">
        <f t="shared" si="3"/>
        <v>1</v>
      </c>
      <c r="AH65" s="759">
        <f t="shared" si="3"/>
        <v>1</v>
      </c>
      <c r="AI65" s="759">
        <f t="shared" si="3"/>
        <v>1</v>
      </c>
      <c r="AJ65" s="759">
        <f t="shared" si="3"/>
        <v>1</v>
      </c>
      <c r="AK65" s="759">
        <f t="shared" si="3"/>
        <v>1</v>
      </c>
      <c r="AL65" s="759">
        <f t="shared" si="3"/>
        <v>1</v>
      </c>
    </row>
    <row r="66" spans="2:38" ht="12.75">
      <c r="B66" s="643"/>
      <c r="C66" s="644"/>
      <c r="D66" s="643"/>
      <c r="E66" s="645"/>
      <c r="F66" s="642" t="s">
        <v>56</v>
      </c>
      <c r="G66" s="849">
        <f>+'(4)MantenimientoyCambiodeconex'!G64*1.12</f>
        <v>0.75049632</v>
      </c>
      <c r="H66" s="849">
        <f>+'(4)MantenimientoyCambiodeconex'!H64*1.12</f>
        <v>0.66710784</v>
      </c>
      <c r="I66" s="762"/>
      <c r="J66" s="762"/>
      <c r="K66" s="762"/>
      <c r="L66" s="762"/>
      <c r="M66" s="762"/>
      <c r="N66" s="762"/>
      <c r="O66" s="762"/>
      <c r="P66" s="762"/>
      <c r="R66" s="759">
        <f>+G66/'(4)MantenimientoyCambiodeconex'!G64</f>
        <v>1.12</v>
      </c>
      <c r="S66" s="759">
        <f>+H66/'(4)MantenimientoyCambiodeconex'!H64</f>
        <v>1.12</v>
      </c>
      <c r="T66" s="759" t="e">
        <f>+I66/'(4)MantenimientoyCambiodeconex'!I64</f>
        <v>#DIV/0!</v>
      </c>
      <c r="U66" s="759" t="e">
        <f>+J66/'(4)MantenimientoyCambiodeconex'!J64</f>
        <v>#DIV/0!</v>
      </c>
      <c r="V66" s="759" t="e">
        <f>+K66/'(4)MantenimientoyCambiodeconex'!K64</f>
        <v>#DIV/0!</v>
      </c>
      <c r="W66" s="759" t="e">
        <f>+L66/'(4)MantenimientoyCambiodeconex'!L64</f>
        <v>#DIV/0!</v>
      </c>
      <c r="X66" s="759" t="e">
        <f>+M66/'(4)MantenimientoyCambiodeconex'!M64</f>
        <v>#DIV/0!</v>
      </c>
      <c r="Y66" s="759" t="e">
        <f>+N66/'(4)MantenimientoyCambiodeconex'!N64</f>
        <v>#DIV/0!</v>
      </c>
      <c r="Z66" s="759" t="e">
        <f>+O66/'(4)MantenimientoyCambiodeconex'!O64</f>
        <v>#DIV/0!</v>
      </c>
      <c r="AA66" s="759" t="e">
        <f>+P66/'(4)MantenimientoyCambiodeconex'!P64</f>
        <v>#DIV/0!</v>
      </c>
      <c r="AC66" s="759">
        <f t="shared" si="4"/>
        <v>1</v>
      </c>
      <c r="AD66" s="759">
        <f t="shared" si="3"/>
        <v>1</v>
      </c>
      <c r="AE66" s="759" t="e">
        <f t="shared" si="3"/>
        <v>#DIV/0!</v>
      </c>
      <c r="AF66" s="759" t="e">
        <f t="shared" si="3"/>
        <v>#DIV/0!</v>
      </c>
      <c r="AG66" s="759" t="e">
        <f t="shared" si="3"/>
        <v>#DIV/0!</v>
      </c>
      <c r="AH66" s="759" t="e">
        <f t="shared" si="3"/>
        <v>#DIV/0!</v>
      </c>
      <c r="AI66" s="759" t="e">
        <f t="shared" si="3"/>
        <v>#DIV/0!</v>
      </c>
      <c r="AJ66" s="759" t="e">
        <f t="shared" si="3"/>
        <v>#DIV/0!</v>
      </c>
      <c r="AK66" s="759" t="e">
        <f t="shared" si="3"/>
        <v>#DIV/0!</v>
      </c>
      <c r="AL66" s="759" t="e">
        <f t="shared" si="3"/>
        <v>#DIV/0!</v>
      </c>
    </row>
    <row r="67" spans="2:38" ht="12.75">
      <c r="B67" s="643"/>
      <c r="C67" s="644"/>
      <c r="D67" s="643"/>
      <c r="E67" s="645"/>
      <c r="F67" s="642" t="s">
        <v>272</v>
      </c>
      <c r="G67" s="849">
        <f>+'(4)MantenimientoyCambiodeconex'!G65*1.12</f>
        <v>3.4884180799999998</v>
      </c>
      <c r="H67" s="849">
        <f>+'(4)MantenimientoyCambiodeconex'!H65*1.12</f>
        <v>3.41892768</v>
      </c>
      <c r="I67" s="762"/>
      <c r="J67" s="762"/>
      <c r="K67" s="762"/>
      <c r="L67" s="762"/>
      <c r="M67" s="762"/>
      <c r="N67" s="762"/>
      <c r="O67" s="762"/>
      <c r="P67" s="762"/>
      <c r="R67" s="759">
        <f>+G67/'(4)MantenimientoyCambiodeconex'!G65</f>
        <v>1.12</v>
      </c>
      <c r="S67" s="759">
        <f>+H67/'(4)MantenimientoyCambiodeconex'!H65</f>
        <v>1.12</v>
      </c>
      <c r="T67" s="759" t="e">
        <f>+I67/'(4)MantenimientoyCambiodeconex'!I65</f>
        <v>#DIV/0!</v>
      </c>
      <c r="U67" s="759" t="e">
        <f>+J67/'(4)MantenimientoyCambiodeconex'!J65</f>
        <v>#DIV/0!</v>
      </c>
      <c r="V67" s="759" t="e">
        <f>+K67/'(4)MantenimientoyCambiodeconex'!K65</f>
        <v>#DIV/0!</v>
      </c>
      <c r="W67" s="759" t="e">
        <f>+L67/'(4)MantenimientoyCambiodeconex'!L65</f>
        <v>#DIV/0!</v>
      </c>
      <c r="X67" s="759" t="e">
        <f>+M67/'(4)MantenimientoyCambiodeconex'!M65</f>
        <v>#DIV/0!</v>
      </c>
      <c r="Y67" s="759" t="e">
        <f>+N67/'(4)MantenimientoyCambiodeconex'!N65</f>
        <v>#DIV/0!</v>
      </c>
      <c r="Z67" s="759" t="e">
        <f>+O67/'(4)MantenimientoyCambiodeconex'!O65</f>
        <v>#DIV/0!</v>
      </c>
      <c r="AA67" s="759" t="e">
        <f>+P67/'(4)MantenimientoyCambiodeconex'!P65</f>
        <v>#DIV/0!</v>
      </c>
      <c r="AC67" s="759">
        <f t="shared" si="4"/>
        <v>1</v>
      </c>
      <c r="AD67" s="759">
        <f t="shared" si="3"/>
        <v>1</v>
      </c>
      <c r="AE67" s="759" t="e">
        <f t="shared" si="3"/>
        <v>#DIV/0!</v>
      </c>
      <c r="AF67" s="759" t="e">
        <f t="shared" si="3"/>
        <v>#DIV/0!</v>
      </c>
      <c r="AG67" s="759" t="e">
        <f t="shared" si="3"/>
        <v>#DIV/0!</v>
      </c>
      <c r="AH67" s="759" t="e">
        <f t="shared" si="3"/>
        <v>#DIV/0!</v>
      </c>
      <c r="AI67" s="759" t="e">
        <f t="shared" si="3"/>
        <v>#DIV/0!</v>
      </c>
      <c r="AJ67" s="759" t="e">
        <f t="shared" si="3"/>
        <v>#DIV/0!</v>
      </c>
      <c r="AK67" s="759" t="e">
        <f t="shared" si="3"/>
        <v>#DIV/0!</v>
      </c>
      <c r="AL67" s="759" t="e">
        <f t="shared" si="3"/>
        <v>#DIV/0!</v>
      </c>
    </row>
    <row r="68" spans="2:38" ht="12.75">
      <c r="B68" s="643"/>
      <c r="C68" s="650" t="s">
        <v>23</v>
      </c>
      <c r="D68" s="640" t="s">
        <v>24</v>
      </c>
      <c r="E68" s="641" t="s">
        <v>25</v>
      </c>
      <c r="F68" s="779" t="s">
        <v>273</v>
      </c>
      <c r="G68" s="849">
        <f>+'(4)MantenimientoyCambiodeconex'!G66*1.12</f>
        <v>4.848084640000001</v>
      </c>
      <c r="H68" s="849">
        <f>+'(4)MantenimientoyCambiodeconex'!H66*1.12</f>
        <v>4.55636608</v>
      </c>
      <c r="I68" s="762"/>
      <c r="J68" s="762"/>
      <c r="K68" s="762"/>
      <c r="L68" s="762"/>
      <c r="M68" s="762"/>
      <c r="N68" s="762"/>
      <c r="O68" s="762"/>
      <c r="P68" s="762"/>
      <c r="R68" s="759">
        <f>+G68/'(4)MantenimientoyCambiodeconex'!G66</f>
        <v>1.12</v>
      </c>
      <c r="S68" s="759">
        <f>+H68/'(4)MantenimientoyCambiodeconex'!H66</f>
        <v>1.12</v>
      </c>
      <c r="T68" s="759" t="e">
        <f>+I68/'(4)MantenimientoyCambiodeconex'!I66</f>
        <v>#DIV/0!</v>
      </c>
      <c r="U68" s="759" t="e">
        <f>+J68/'(4)MantenimientoyCambiodeconex'!J66</f>
        <v>#DIV/0!</v>
      </c>
      <c r="V68" s="759" t="e">
        <f>+K68/'(4)MantenimientoyCambiodeconex'!K66</f>
        <v>#DIV/0!</v>
      </c>
      <c r="W68" s="759" t="e">
        <f>+L68/'(4)MantenimientoyCambiodeconex'!L66</f>
        <v>#DIV/0!</v>
      </c>
      <c r="X68" s="759" t="e">
        <f>+M68/'(4)MantenimientoyCambiodeconex'!M66</f>
        <v>#DIV/0!</v>
      </c>
      <c r="Y68" s="759" t="e">
        <f>+N68/'(4)MantenimientoyCambiodeconex'!N66</f>
        <v>#DIV/0!</v>
      </c>
      <c r="Z68" s="759" t="e">
        <f>+O68/'(4)MantenimientoyCambiodeconex'!O66</f>
        <v>#DIV/0!</v>
      </c>
      <c r="AA68" s="759" t="e">
        <f>+P68/'(4)MantenimientoyCambiodeconex'!P66</f>
        <v>#DIV/0!</v>
      </c>
      <c r="AC68" s="759">
        <f t="shared" si="4"/>
        <v>1</v>
      </c>
      <c r="AD68" s="759">
        <f t="shared" si="3"/>
        <v>1</v>
      </c>
      <c r="AE68" s="759" t="e">
        <f t="shared" si="3"/>
        <v>#DIV/0!</v>
      </c>
      <c r="AF68" s="759" t="e">
        <f t="shared" si="3"/>
        <v>#DIV/0!</v>
      </c>
      <c r="AG68" s="759" t="e">
        <f t="shared" si="3"/>
        <v>#DIV/0!</v>
      </c>
      <c r="AH68" s="759" t="e">
        <f t="shared" si="3"/>
        <v>#DIV/0!</v>
      </c>
      <c r="AI68" s="759" t="e">
        <f t="shared" si="3"/>
        <v>#DIV/0!</v>
      </c>
      <c r="AJ68" s="759" t="e">
        <f t="shared" si="3"/>
        <v>#DIV/0!</v>
      </c>
      <c r="AK68" s="759" t="e">
        <f t="shared" si="3"/>
        <v>#DIV/0!</v>
      </c>
      <c r="AL68" s="759" t="e">
        <f t="shared" si="3"/>
        <v>#DIV/0!</v>
      </c>
    </row>
    <row r="69" spans="2:38" ht="12.75">
      <c r="B69" s="643"/>
      <c r="C69" s="650" t="s">
        <v>26</v>
      </c>
      <c r="D69" s="640" t="s">
        <v>27</v>
      </c>
      <c r="E69" s="641" t="s">
        <v>28</v>
      </c>
      <c r="F69" s="642" t="s">
        <v>272</v>
      </c>
      <c r="G69" s="849">
        <f>+'(4)MantenimientoyCambiodeconex'!G67*1.12</f>
        <v>4.848084640000001</v>
      </c>
      <c r="H69" s="849">
        <f>+'(4)MantenimientoyCambiodeconex'!H67*1.12</f>
        <v>4.55636608</v>
      </c>
      <c r="I69" s="762"/>
      <c r="J69" s="762"/>
      <c r="K69" s="762"/>
      <c r="L69" s="762"/>
      <c r="M69" s="762"/>
      <c r="N69" s="762"/>
      <c r="O69" s="762"/>
      <c r="P69" s="762"/>
      <c r="R69" s="759">
        <f>+G69/'(4)MantenimientoyCambiodeconex'!G67</f>
        <v>1.12</v>
      </c>
      <c r="S69" s="759">
        <f>+H69/'(4)MantenimientoyCambiodeconex'!H67</f>
        <v>1.12</v>
      </c>
      <c r="T69" s="759" t="e">
        <f>+I69/'(4)MantenimientoyCambiodeconex'!I67</f>
        <v>#DIV/0!</v>
      </c>
      <c r="U69" s="759" t="e">
        <f>+J69/'(4)MantenimientoyCambiodeconex'!J67</f>
        <v>#DIV/0!</v>
      </c>
      <c r="V69" s="759" t="e">
        <f>+K69/'(4)MantenimientoyCambiodeconex'!K67</f>
        <v>#DIV/0!</v>
      </c>
      <c r="W69" s="759" t="e">
        <f>+L69/'(4)MantenimientoyCambiodeconex'!L67</f>
        <v>#DIV/0!</v>
      </c>
      <c r="X69" s="759" t="e">
        <f>+M69/'(4)MantenimientoyCambiodeconex'!M67</f>
        <v>#DIV/0!</v>
      </c>
      <c r="Y69" s="759" t="e">
        <f>+N69/'(4)MantenimientoyCambiodeconex'!N67</f>
        <v>#DIV/0!</v>
      </c>
      <c r="Z69" s="759" t="e">
        <f>+O69/'(4)MantenimientoyCambiodeconex'!O67</f>
        <v>#DIV/0!</v>
      </c>
      <c r="AA69" s="759" t="e">
        <f>+P69/'(4)MantenimientoyCambiodeconex'!P67</f>
        <v>#DIV/0!</v>
      </c>
      <c r="AC69" s="759">
        <f t="shared" si="4"/>
        <v>1</v>
      </c>
      <c r="AD69" s="759">
        <f t="shared" si="3"/>
        <v>1</v>
      </c>
      <c r="AE69" s="759" t="e">
        <f t="shared" si="3"/>
        <v>#DIV/0!</v>
      </c>
      <c r="AF69" s="759" t="e">
        <f t="shared" si="3"/>
        <v>#DIV/0!</v>
      </c>
      <c r="AG69" s="759" t="e">
        <f t="shared" si="3"/>
        <v>#DIV/0!</v>
      </c>
      <c r="AH69" s="759" t="e">
        <f t="shared" si="3"/>
        <v>#DIV/0!</v>
      </c>
      <c r="AI69" s="759" t="e">
        <f t="shared" si="3"/>
        <v>#DIV/0!</v>
      </c>
      <c r="AJ69" s="759" t="e">
        <f t="shared" si="3"/>
        <v>#DIV/0!</v>
      </c>
      <c r="AK69" s="759" t="e">
        <f t="shared" si="3"/>
        <v>#DIV/0!</v>
      </c>
      <c r="AL69" s="759" t="e">
        <f t="shared" si="3"/>
        <v>#DIV/0!</v>
      </c>
    </row>
    <row r="70" spans="2:38" ht="12.75">
      <c r="B70" s="643"/>
      <c r="C70" s="644"/>
      <c r="D70" s="777" t="s">
        <v>29</v>
      </c>
      <c r="E70" s="740" t="s">
        <v>30</v>
      </c>
      <c r="F70" s="642" t="s">
        <v>272</v>
      </c>
      <c r="G70" s="849"/>
      <c r="H70" s="849">
        <f>+'(4)MantenimientoyCambiodeconex'!H68*1.12</f>
        <v>4.55636608</v>
      </c>
      <c r="I70" s="762"/>
      <c r="J70" s="762"/>
      <c r="K70" s="762"/>
      <c r="L70" s="762"/>
      <c r="M70" s="762"/>
      <c r="N70" s="762"/>
      <c r="O70" s="762"/>
      <c r="P70" s="762"/>
      <c r="R70" s="759" t="e">
        <f>+G70/'(4)MantenimientoyCambiodeconex'!G68</f>
        <v>#DIV/0!</v>
      </c>
      <c r="S70" s="759">
        <f>+H70/'(4)MantenimientoyCambiodeconex'!H68</f>
        <v>1.12</v>
      </c>
      <c r="T70" s="759" t="e">
        <f>+I70/'(4)MantenimientoyCambiodeconex'!I68</f>
        <v>#DIV/0!</v>
      </c>
      <c r="U70" s="759" t="e">
        <f>+J70/'(4)MantenimientoyCambiodeconex'!J68</f>
        <v>#DIV/0!</v>
      </c>
      <c r="V70" s="759" t="e">
        <f>+K70/'(4)MantenimientoyCambiodeconex'!K68</f>
        <v>#DIV/0!</v>
      </c>
      <c r="W70" s="759" t="e">
        <f>+L70/'(4)MantenimientoyCambiodeconex'!L68</f>
        <v>#DIV/0!</v>
      </c>
      <c r="X70" s="759" t="e">
        <f>+M70/'(4)MantenimientoyCambiodeconex'!M68</f>
        <v>#DIV/0!</v>
      </c>
      <c r="Y70" s="759" t="e">
        <f>+N70/'(4)MantenimientoyCambiodeconex'!N68</f>
        <v>#DIV/0!</v>
      </c>
      <c r="Z70" s="759" t="e">
        <f>+O70/'(4)MantenimientoyCambiodeconex'!O68</f>
        <v>#DIV/0!</v>
      </c>
      <c r="AA70" s="759" t="e">
        <f>+P70/'(4)MantenimientoyCambiodeconex'!P68</f>
        <v>#DIV/0!</v>
      </c>
      <c r="AC70" s="759" t="e">
        <f t="shared" si="4"/>
        <v>#DIV/0!</v>
      </c>
      <c r="AD70" s="759">
        <f t="shared" si="3"/>
        <v>1</v>
      </c>
      <c r="AE70" s="759" t="e">
        <f t="shared" si="3"/>
        <v>#DIV/0!</v>
      </c>
      <c r="AF70" s="759" t="e">
        <f t="shared" si="3"/>
        <v>#DIV/0!</v>
      </c>
      <c r="AG70" s="759" t="e">
        <f t="shared" si="3"/>
        <v>#DIV/0!</v>
      </c>
      <c r="AH70" s="759" t="e">
        <f t="shared" si="3"/>
        <v>#DIV/0!</v>
      </c>
      <c r="AI70" s="759" t="e">
        <f t="shared" si="3"/>
        <v>#DIV/0!</v>
      </c>
      <c r="AJ70" s="759" t="e">
        <f t="shared" si="3"/>
        <v>#DIV/0!</v>
      </c>
      <c r="AK70" s="759" t="e">
        <f t="shared" si="3"/>
        <v>#DIV/0!</v>
      </c>
      <c r="AL70" s="759" t="e">
        <f t="shared" si="3"/>
        <v>#DIV/0!</v>
      </c>
    </row>
    <row r="71" spans="2:38" ht="12.75">
      <c r="B71" s="643"/>
      <c r="C71" s="644"/>
      <c r="D71" s="777" t="s">
        <v>31</v>
      </c>
      <c r="E71" s="740" t="s">
        <v>32</v>
      </c>
      <c r="F71" s="642" t="s">
        <v>272</v>
      </c>
      <c r="G71" s="849"/>
      <c r="H71" s="849">
        <f>+'(4)MantenimientoyCambiodeconex'!H69*1.12</f>
        <v>4.55636608</v>
      </c>
      <c r="I71" s="762"/>
      <c r="J71" s="762"/>
      <c r="K71" s="762"/>
      <c r="L71" s="762"/>
      <c r="M71" s="762"/>
      <c r="N71" s="762"/>
      <c r="O71" s="762"/>
      <c r="P71" s="762"/>
      <c r="R71" s="759" t="e">
        <f>+G71/'(4)MantenimientoyCambiodeconex'!G69</f>
        <v>#DIV/0!</v>
      </c>
      <c r="S71" s="759">
        <f>+H71/'(4)MantenimientoyCambiodeconex'!H69</f>
        <v>1.12</v>
      </c>
      <c r="T71" s="759" t="e">
        <f>+I71/'(4)MantenimientoyCambiodeconex'!I69</f>
        <v>#DIV/0!</v>
      </c>
      <c r="U71" s="759" t="e">
        <f>+J71/'(4)MantenimientoyCambiodeconex'!J69</f>
        <v>#DIV/0!</v>
      </c>
      <c r="V71" s="759" t="e">
        <f>+K71/'(4)MantenimientoyCambiodeconex'!K69</f>
        <v>#DIV/0!</v>
      </c>
      <c r="W71" s="759" t="e">
        <f>+L71/'(4)MantenimientoyCambiodeconex'!L69</f>
        <v>#DIV/0!</v>
      </c>
      <c r="X71" s="759" t="e">
        <f>+M71/'(4)MantenimientoyCambiodeconex'!M69</f>
        <v>#DIV/0!</v>
      </c>
      <c r="Y71" s="759" t="e">
        <f>+N71/'(4)MantenimientoyCambiodeconex'!N69</f>
        <v>#DIV/0!</v>
      </c>
      <c r="Z71" s="759" t="e">
        <f>+O71/'(4)MantenimientoyCambiodeconex'!O69</f>
        <v>#DIV/0!</v>
      </c>
      <c r="AA71" s="759" t="e">
        <f>+P71/'(4)MantenimientoyCambiodeconex'!P69</f>
        <v>#DIV/0!</v>
      </c>
      <c r="AC71" s="759" t="e">
        <f t="shared" si="4"/>
        <v>#DIV/0!</v>
      </c>
      <c r="AD71" s="759">
        <f t="shared" si="3"/>
        <v>1</v>
      </c>
      <c r="AE71" s="759" t="e">
        <f t="shared" si="3"/>
        <v>#DIV/0!</v>
      </c>
      <c r="AF71" s="759" t="e">
        <f t="shared" si="3"/>
        <v>#DIV/0!</v>
      </c>
      <c r="AG71" s="759" t="e">
        <f t="shared" si="3"/>
        <v>#DIV/0!</v>
      </c>
      <c r="AH71" s="759" t="e">
        <f t="shared" si="3"/>
        <v>#DIV/0!</v>
      </c>
      <c r="AI71" s="759" t="e">
        <f t="shared" si="3"/>
        <v>#DIV/0!</v>
      </c>
      <c r="AJ71" s="759" t="e">
        <f t="shared" si="3"/>
        <v>#DIV/0!</v>
      </c>
      <c r="AK71" s="759" t="e">
        <f t="shared" si="3"/>
        <v>#DIV/0!</v>
      </c>
      <c r="AL71" s="759" t="e">
        <f t="shared" si="3"/>
        <v>#DIV/0!</v>
      </c>
    </row>
    <row r="72" spans="2:39" ht="12.75">
      <c r="B72" s="647"/>
      <c r="C72" s="654"/>
      <c r="D72" s="780" t="s">
        <v>33</v>
      </c>
      <c r="E72" s="743" t="s">
        <v>34</v>
      </c>
      <c r="F72" s="642" t="s">
        <v>272</v>
      </c>
      <c r="G72" s="849"/>
      <c r="H72" s="849">
        <f>+'(4)MantenimientoyCambiodeconex'!H70*1.12</f>
        <v>4.55636608</v>
      </c>
      <c r="I72" s="762"/>
      <c r="J72" s="762"/>
      <c r="K72" s="762"/>
      <c r="L72" s="762"/>
      <c r="M72" s="762"/>
      <c r="N72" s="762"/>
      <c r="O72" s="762"/>
      <c r="P72" s="762"/>
      <c r="R72" s="759" t="e">
        <f>+G72/'(4)MantenimientoyCambiodeconex'!G70</f>
        <v>#DIV/0!</v>
      </c>
      <c r="S72" s="759">
        <f>+H72/'(4)MantenimientoyCambiodeconex'!H70</f>
        <v>1.12</v>
      </c>
      <c r="T72" s="759" t="e">
        <f>+I72/'(4)MantenimientoyCambiodeconex'!I70</f>
        <v>#DIV/0!</v>
      </c>
      <c r="U72" s="759" t="e">
        <f>+J72/'(4)MantenimientoyCambiodeconex'!J70</f>
        <v>#DIV/0!</v>
      </c>
      <c r="V72" s="759" t="e">
        <f>+K72/'(4)MantenimientoyCambiodeconex'!K70</f>
        <v>#DIV/0!</v>
      </c>
      <c r="W72" s="759" t="e">
        <f>+L72/'(4)MantenimientoyCambiodeconex'!L70</f>
        <v>#DIV/0!</v>
      </c>
      <c r="X72" s="759" t="e">
        <f>+M72/'(4)MantenimientoyCambiodeconex'!M70</f>
        <v>#DIV/0!</v>
      </c>
      <c r="Y72" s="759" t="e">
        <f>+N72/'(4)MantenimientoyCambiodeconex'!N70</f>
        <v>#DIV/0!</v>
      </c>
      <c r="Z72" s="759" t="e">
        <f>+O72/'(4)MantenimientoyCambiodeconex'!O70</f>
        <v>#DIV/0!</v>
      </c>
      <c r="AA72" s="759" t="e">
        <f>+P72/'(4)MantenimientoyCambiodeconex'!P70</f>
        <v>#DIV/0!</v>
      </c>
      <c r="AC72" s="759" t="e">
        <f t="shared" si="4"/>
        <v>#DIV/0!</v>
      </c>
      <c r="AD72" s="759">
        <f t="shared" si="3"/>
        <v>1</v>
      </c>
      <c r="AE72" s="759" t="e">
        <f t="shared" si="3"/>
        <v>#DIV/0!</v>
      </c>
      <c r="AF72" s="759" t="e">
        <f t="shared" si="3"/>
        <v>#DIV/0!</v>
      </c>
      <c r="AG72" s="759" t="e">
        <f t="shared" si="3"/>
        <v>#DIV/0!</v>
      </c>
      <c r="AH72" s="759" t="e">
        <f t="shared" si="3"/>
        <v>#DIV/0!</v>
      </c>
      <c r="AI72" s="759" t="e">
        <f t="shared" si="3"/>
        <v>#DIV/0!</v>
      </c>
      <c r="AJ72" s="759" t="e">
        <f t="shared" si="3"/>
        <v>#DIV/0!</v>
      </c>
      <c r="AK72" s="759" t="e">
        <f t="shared" si="3"/>
        <v>#DIV/0!</v>
      </c>
      <c r="AL72" s="759" t="e">
        <f t="shared" si="3"/>
        <v>#DIV/0!</v>
      </c>
      <c r="AM72" s="798" t="e">
        <f>+SUM(AC60:AL72)</f>
        <v>#DIV/0!</v>
      </c>
    </row>
    <row r="73" spans="2:16" ht="12.75">
      <c r="B73" s="762" t="s">
        <v>283</v>
      </c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762"/>
      <c r="N73" s="762"/>
      <c r="O73" s="762"/>
      <c r="P73" s="762"/>
    </row>
    <row r="74" spans="2:16" ht="12.75">
      <c r="B74" s="762" t="s">
        <v>284</v>
      </c>
      <c r="C74" s="762"/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762"/>
      <c r="O74" s="762"/>
      <c r="P74" s="762"/>
    </row>
    <row r="75" spans="2:16" ht="12.75">
      <c r="B75" s="762"/>
      <c r="C75" s="762"/>
      <c r="D75" s="762"/>
      <c r="E75" s="762"/>
      <c r="F75" s="762"/>
      <c r="G75" s="762"/>
      <c r="H75" s="762"/>
      <c r="I75" s="762"/>
      <c r="J75" s="762"/>
      <c r="K75" s="762"/>
      <c r="L75" s="762"/>
      <c r="M75" s="762"/>
      <c r="N75" s="762"/>
      <c r="O75" s="762"/>
      <c r="P75" s="762"/>
    </row>
    <row r="76" spans="2:16" ht="12.75"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  <c r="O76" s="762"/>
      <c r="P76" s="762"/>
    </row>
    <row r="77" spans="2:16" ht="15.75">
      <c r="B77" s="632" t="s">
        <v>417</v>
      </c>
      <c r="C77" s="762"/>
      <c r="D77" s="633"/>
      <c r="E77" s="633"/>
      <c r="F77" s="633"/>
      <c r="G77" s="633"/>
      <c r="H77" s="633"/>
      <c r="I77" s="762"/>
      <c r="J77" s="762"/>
      <c r="K77" s="762"/>
      <c r="L77" s="762"/>
      <c r="M77" s="762"/>
      <c r="N77" s="762"/>
      <c r="O77" s="762"/>
      <c r="P77" s="762"/>
    </row>
    <row r="78" spans="2:16" ht="12.75">
      <c r="B78" s="762"/>
      <c r="C78" s="762"/>
      <c r="D78" s="762"/>
      <c r="E78" s="762"/>
      <c r="F78" s="762"/>
      <c r="G78" s="974" t="s">
        <v>307</v>
      </c>
      <c r="H78" s="975"/>
      <c r="I78" s="974" t="s">
        <v>308</v>
      </c>
      <c r="J78" s="975"/>
      <c r="K78" s="974" t="s">
        <v>309</v>
      </c>
      <c r="L78" s="975"/>
      <c r="M78" s="978" t="s">
        <v>310</v>
      </c>
      <c r="N78" s="979"/>
      <c r="O78" s="762"/>
      <c r="P78" s="762"/>
    </row>
    <row r="79" spans="2:16" ht="12.75">
      <c r="B79" s="635" t="s">
        <v>6</v>
      </c>
      <c r="C79" s="635" t="s">
        <v>3</v>
      </c>
      <c r="D79" s="635" t="s">
        <v>4</v>
      </c>
      <c r="E79" s="635" t="s">
        <v>7</v>
      </c>
      <c r="F79" s="635" t="s">
        <v>49</v>
      </c>
      <c r="G79" s="635" t="s">
        <v>1</v>
      </c>
      <c r="H79" s="635" t="s">
        <v>2</v>
      </c>
      <c r="I79" s="635" t="s">
        <v>1</v>
      </c>
      <c r="J79" s="635" t="s">
        <v>2</v>
      </c>
      <c r="K79" s="635" t="s">
        <v>1</v>
      </c>
      <c r="L79" s="635" t="s">
        <v>2</v>
      </c>
      <c r="M79" s="635" t="s">
        <v>1</v>
      </c>
      <c r="N79" s="635" t="s">
        <v>2</v>
      </c>
      <c r="O79" s="762"/>
      <c r="P79" s="762"/>
    </row>
    <row r="80" spans="2:16" ht="12.75">
      <c r="B80" s="658"/>
      <c r="C80" s="658"/>
      <c r="D80" s="658"/>
      <c r="E80" s="658" t="s">
        <v>86</v>
      </c>
      <c r="F80" s="658" t="s">
        <v>304</v>
      </c>
      <c r="G80" s="639" t="s">
        <v>280</v>
      </c>
      <c r="H80" s="639" t="s">
        <v>285</v>
      </c>
      <c r="I80" s="639" t="s">
        <v>280</v>
      </c>
      <c r="J80" s="639" t="s">
        <v>285</v>
      </c>
      <c r="K80" s="639" t="s">
        <v>280</v>
      </c>
      <c r="L80" s="639" t="s">
        <v>285</v>
      </c>
      <c r="M80" s="639" t="s">
        <v>280</v>
      </c>
      <c r="N80" s="639" t="s">
        <v>285</v>
      </c>
      <c r="O80" s="762"/>
      <c r="P80" s="762"/>
    </row>
    <row r="81" spans="2:34" ht="12.75">
      <c r="B81" s="640" t="s">
        <v>18</v>
      </c>
      <c r="C81" s="640" t="s">
        <v>16</v>
      </c>
      <c r="D81" s="663" t="s">
        <v>17</v>
      </c>
      <c r="E81" s="664" t="s">
        <v>19</v>
      </c>
      <c r="F81" s="663" t="s">
        <v>60</v>
      </c>
      <c r="G81" s="848">
        <f>+'(4)MantenimientoyCambiodeconex'!G79*1.12</f>
        <v>1.44540032</v>
      </c>
      <c r="H81" s="848">
        <f>+'(4)MantenimientoyCambiodeconex'!H79*1.12</f>
        <v>1.3759099199999998</v>
      </c>
      <c r="I81" s="848">
        <f>+'(4)MantenimientoyCambiodeconex'!I79*1.12</f>
        <v>1.44540032</v>
      </c>
      <c r="J81" s="848">
        <f>+'(4)MantenimientoyCambiodeconex'!J79*1.12</f>
        <v>1.3759099199999998</v>
      </c>
      <c r="K81" s="848">
        <f>+'(4)MantenimientoyCambiodeconex'!K79*1.12</f>
        <v>1.6121772799999998</v>
      </c>
      <c r="L81" s="848">
        <f>+'(4)MantenimientoyCambiodeconex'!L79*1.12</f>
        <v>1.5287888</v>
      </c>
      <c r="M81" s="848">
        <f>+'(4)MantenimientoyCambiodeconex'!M79*1.12</f>
        <v>1.6121772799999998</v>
      </c>
      <c r="N81" s="848">
        <f>+'(4)MantenimientoyCambiodeconex'!N79*1.12</f>
        <v>1.5287888</v>
      </c>
      <c r="O81" s="762"/>
      <c r="P81" s="762"/>
      <c r="R81" s="759">
        <f>+G81/'(4)MantenimientoyCambiodeconex'!G79</f>
        <v>1.12</v>
      </c>
      <c r="S81" s="759">
        <f>+H81/'(4)MantenimientoyCambiodeconex'!H79</f>
        <v>1.12</v>
      </c>
      <c r="T81" s="759">
        <f>+I81/'(4)MantenimientoyCambiodeconex'!I79</f>
        <v>1.12</v>
      </c>
      <c r="U81" s="759">
        <f>+J81/'(4)MantenimientoyCambiodeconex'!J79</f>
        <v>1.12</v>
      </c>
      <c r="V81" s="759">
        <f>+K81/'(4)MantenimientoyCambiodeconex'!K79</f>
        <v>1.12</v>
      </c>
      <c r="W81" s="759">
        <f>+L81/'(4)MantenimientoyCambiodeconex'!L79</f>
        <v>1.12</v>
      </c>
      <c r="X81" s="759">
        <f>+M81/'(4)MantenimientoyCambiodeconex'!M79</f>
        <v>1.12</v>
      </c>
      <c r="Y81" s="759">
        <f>+N81/'(4)MantenimientoyCambiodeconex'!N79</f>
        <v>1.12</v>
      </c>
      <c r="Z81" s="759" t="e">
        <f>+O81/'(4)MantenimientoyCambiodeconex'!O79</f>
        <v>#DIV/0!</v>
      </c>
      <c r="AA81" s="759" t="e">
        <f>+P81/'(4)MantenimientoyCambiodeconex'!P79</f>
        <v>#DIV/0!</v>
      </c>
      <c r="AB81" s="759">
        <f aca="true" t="shared" si="5" ref="AB81:AH82">+IF(S81=H81,0,1)</f>
        <v>1</v>
      </c>
      <c r="AC81" s="759">
        <f t="shared" si="5"/>
        <v>1</v>
      </c>
      <c r="AD81" s="759">
        <f t="shared" si="5"/>
        <v>1</v>
      </c>
      <c r="AE81" s="759">
        <f t="shared" si="5"/>
        <v>1</v>
      </c>
      <c r="AF81" s="759">
        <f t="shared" si="5"/>
        <v>1</v>
      </c>
      <c r="AG81" s="759">
        <f t="shared" si="5"/>
        <v>1</v>
      </c>
      <c r="AH81" s="759">
        <f t="shared" si="5"/>
        <v>1</v>
      </c>
    </row>
    <row r="82" spans="2:35" ht="12.75">
      <c r="B82" s="647"/>
      <c r="C82" s="647"/>
      <c r="D82" s="663" t="s">
        <v>21</v>
      </c>
      <c r="E82" s="666" t="s">
        <v>22</v>
      </c>
      <c r="F82" s="663" t="s">
        <v>60</v>
      </c>
      <c r="G82" s="848">
        <f>+'(4)MantenimientoyCambiodeconex'!G80*1.12</f>
        <v>1.44540032</v>
      </c>
      <c r="H82" s="848">
        <f>+'(4)MantenimientoyCambiodeconex'!H80*1.12</f>
        <v>1.3759099199999998</v>
      </c>
      <c r="I82" s="848">
        <f>+'(4)MantenimientoyCambiodeconex'!I80*1.12</f>
        <v>1.44540032</v>
      </c>
      <c r="J82" s="848">
        <f>+'(4)MantenimientoyCambiodeconex'!J80*1.12</f>
        <v>1.3759099199999998</v>
      </c>
      <c r="K82" s="848">
        <f>+'(4)MantenimientoyCambiodeconex'!K80*1.12</f>
        <v>1.6121772799999998</v>
      </c>
      <c r="L82" s="848">
        <f>+'(4)MantenimientoyCambiodeconex'!L80*1.12</f>
        <v>1.5287888</v>
      </c>
      <c r="M82" s="848">
        <f>+'(4)MantenimientoyCambiodeconex'!M80*1.12</f>
        <v>1.6121772799999998</v>
      </c>
      <c r="N82" s="848">
        <f>+'(4)MantenimientoyCambiodeconex'!N80*1.12</f>
        <v>1.5287888</v>
      </c>
      <c r="O82" s="762"/>
      <c r="P82" s="762"/>
      <c r="R82" s="759">
        <f>+G82/'(4)MantenimientoyCambiodeconex'!G80</f>
        <v>1.12</v>
      </c>
      <c r="S82" s="759">
        <f>+H82/'(4)MantenimientoyCambiodeconex'!H80</f>
        <v>1.12</v>
      </c>
      <c r="T82" s="759">
        <f>+I82/'(4)MantenimientoyCambiodeconex'!I80</f>
        <v>1.12</v>
      </c>
      <c r="U82" s="759">
        <f>+J82/'(4)MantenimientoyCambiodeconex'!J80</f>
        <v>1.12</v>
      </c>
      <c r="V82" s="759">
        <f>+K82/'(4)MantenimientoyCambiodeconex'!K80</f>
        <v>1.12</v>
      </c>
      <c r="W82" s="759">
        <f>+L82/'(4)MantenimientoyCambiodeconex'!L80</f>
        <v>1.12</v>
      </c>
      <c r="X82" s="759">
        <f>+M82/'(4)MantenimientoyCambiodeconex'!M80</f>
        <v>1.12</v>
      </c>
      <c r="Y82" s="759">
        <f>+N82/'(4)MantenimientoyCambiodeconex'!N80</f>
        <v>1.12</v>
      </c>
      <c r="Z82" s="759" t="e">
        <f>+O82/'(4)MantenimientoyCambiodeconex'!O80</f>
        <v>#DIV/0!</v>
      </c>
      <c r="AA82" s="759" t="e">
        <f>+P82/'(4)MantenimientoyCambiodeconex'!P80</f>
        <v>#DIV/0!</v>
      </c>
      <c r="AB82" s="759">
        <f t="shared" si="5"/>
        <v>1</v>
      </c>
      <c r="AC82" s="759">
        <f t="shared" si="5"/>
        <v>1</v>
      </c>
      <c r="AD82" s="759">
        <f t="shared" si="5"/>
        <v>1</v>
      </c>
      <c r="AE82" s="759">
        <f t="shared" si="5"/>
        <v>1</v>
      </c>
      <c r="AF82" s="759">
        <f t="shared" si="5"/>
        <v>1</v>
      </c>
      <c r="AG82" s="759">
        <f t="shared" si="5"/>
        <v>1</v>
      </c>
      <c r="AH82" s="759">
        <f t="shared" si="5"/>
        <v>1</v>
      </c>
      <c r="AI82" s="781" t="e">
        <f>+SUM(AA81:AH82)</f>
        <v>#DIV/0!</v>
      </c>
    </row>
    <row r="83" spans="2:16" ht="12.75">
      <c r="B83" s="762" t="s">
        <v>281</v>
      </c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2"/>
    </row>
    <row r="84" spans="2:16" ht="12.75">
      <c r="B84" s="762" t="s">
        <v>284</v>
      </c>
      <c r="C84" s="762"/>
      <c r="D84" s="762"/>
      <c r="E84" s="762"/>
      <c r="F84" s="762"/>
      <c r="G84" s="762"/>
      <c r="H84" s="762"/>
      <c r="I84" s="762"/>
      <c r="J84" s="762"/>
      <c r="K84" s="762"/>
      <c r="L84" s="762"/>
      <c r="M84" s="762"/>
      <c r="N84" s="762"/>
      <c r="O84" s="762"/>
      <c r="P84" s="762"/>
    </row>
    <row r="85" spans="2:16" ht="12.75">
      <c r="B85" s="762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</row>
    <row r="86" spans="2:16" ht="12.75">
      <c r="B86" s="762"/>
      <c r="C86" s="762"/>
      <c r="D86" s="762"/>
      <c r="E86" s="762"/>
      <c r="F86" s="762"/>
      <c r="G86" s="762"/>
      <c r="H86" s="762"/>
      <c r="I86" s="762"/>
      <c r="J86" s="762"/>
      <c r="K86" s="762"/>
      <c r="L86" s="762"/>
      <c r="M86" s="762"/>
      <c r="N86" s="762"/>
      <c r="O86" s="762"/>
      <c r="P86" s="762"/>
    </row>
    <row r="87" spans="2:16" ht="15.75">
      <c r="B87" s="632" t="s">
        <v>418</v>
      </c>
      <c r="C87" s="762"/>
      <c r="D87" s="762"/>
      <c r="E87" s="762"/>
      <c r="F87" s="762"/>
      <c r="G87" s="762"/>
      <c r="H87" s="762"/>
      <c r="I87" s="762"/>
      <c r="J87" s="762"/>
      <c r="K87" s="762"/>
      <c r="L87" s="762"/>
      <c r="M87" s="762"/>
      <c r="N87" s="762"/>
      <c r="O87" s="762"/>
      <c r="P87" s="762"/>
    </row>
    <row r="88" spans="2:16" ht="12.75">
      <c r="B88" s="762"/>
      <c r="C88" s="762"/>
      <c r="D88" s="633"/>
      <c r="E88" s="633"/>
      <c r="F88" s="633"/>
      <c r="G88" s="633"/>
      <c r="H88" s="633"/>
      <c r="I88" s="762"/>
      <c r="J88" s="762"/>
      <c r="K88" s="762"/>
      <c r="L88" s="762"/>
      <c r="M88" s="762"/>
      <c r="N88" s="762"/>
      <c r="O88" s="762"/>
      <c r="P88" s="762"/>
    </row>
    <row r="89" spans="2:16" ht="12.75">
      <c r="B89" s="635" t="s">
        <v>6</v>
      </c>
      <c r="C89" s="636" t="s">
        <v>3</v>
      </c>
      <c r="D89" s="635" t="s">
        <v>4</v>
      </c>
      <c r="E89" s="635" t="s">
        <v>7</v>
      </c>
      <c r="F89" s="635" t="s">
        <v>49</v>
      </c>
      <c r="G89" s="635" t="s">
        <v>1</v>
      </c>
      <c r="H89" s="635" t="s">
        <v>2</v>
      </c>
      <c r="I89" s="762"/>
      <c r="J89" s="762"/>
      <c r="K89" s="762"/>
      <c r="L89" s="762"/>
      <c r="M89" s="762"/>
      <c r="N89" s="762"/>
      <c r="O89" s="762"/>
      <c r="P89" s="762"/>
    </row>
    <row r="90" spans="2:16" ht="12.75">
      <c r="B90" s="637"/>
      <c r="C90" s="638"/>
      <c r="D90" s="637"/>
      <c r="E90" s="637" t="s">
        <v>86</v>
      </c>
      <c r="F90" s="637" t="s">
        <v>304</v>
      </c>
      <c r="G90" s="639" t="s">
        <v>274</v>
      </c>
      <c r="H90" s="637" t="s">
        <v>275</v>
      </c>
      <c r="I90" s="762"/>
      <c r="J90" s="762"/>
      <c r="K90" s="762"/>
      <c r="L90" s="762"/>
      <c r="M90" s="762"/>
      <c r="N90" s="762"/>
      <c r="O90" s="762"/>
      <c r="P90" s="762"/>
    </row>
    <row r="91" spans="2:22" ht="12.75">
      <c r="B91" s="687" t="s">
        <v>11</v>
      </c>
      <c r="C91" s="640" t="s">
        <v>9</v>
      </c>
      <c r="D91" s="640" t="s">
        <v>10</v>
      </c>
      <c r="E91" s="641" t="s">
        <v>12</v>
      </c>
      <c r="F91" s="642" t="s">
        <v>149</v>
      </c>
      <c r="G91" s="849">
        <f>+'(4)MantenimientoyCambiodeconex'!G88*1.12</f>
        <v>0.98676368</v>
      </c>
      <c r="H91" s="849">
        <f>+'(4)MantenimientoyCambiodeconex'!H88*1.12</f>
        <v>0.8616809599999999</v>
      </c>
      <c r="I91" s="762"/>
      <c r="J91" s="762"/>
      <c r="K91" s="762"/>
      <c r="L91" s="762"/>
      <c r="M91" s="762"/>
      <c r="N91" s="762"/>
      <c r="O91" s="762"/>
      <c r="P91" s="762"/>
      <c r="R91" s="759">
        <f>+G91/'(4)MantenimientoyCambiodeconex'!G88</f>
        <v>1.12</v>
      </c>
      <c r="S91" s="759">
        <f>+H91/'(4)MantenimientoyCambiodeconex'!H88</f>
        <v>1.12</v>
      </c>
      <c r="U91" s="759">
        <f>+IF(R91=G91,0,1)</f>
        <v>1</v>
      </c>
      <c r="V91" s="759">
        <f>+IF(S91=H91,0,1)</f>
        <v>1</v>
      </c>
    </row>
    <row r="92" spans="2:22" ht="12.75">
      <c r="B92" s="799"/>
      <c r="C92" s="775"/>
      <c r="D92" s="775"/>
      <c r="E92" s="775"/>
      <c r="F92" s="642" t="s">
        <v>288</v>
      </c>
      <c r="G92" s="849">
        <f>+'(4)MantenimientoyCambiodeconex'!G89*1.12</f>
        <v>0.98676368</v>
      </c>
      <c r="H92" s="849">
        <f>+'(4)MantenimientoyCambiodeconex'!H89*1.12</f>
        <v>0.8616809599999999</v>
      </c>
      <c r="I92" s="762"/>
      <c r="J92" s="762"/>
      <c r="K92" s="762"/>
      <c r="L92" s="762"/>
      <c r="M92" s="762"/>
      <c r="N92" s="762"/>
      <c r="O92" s="762"/>
      <c r="P92" s="762"/>
      <c r="R92" s="759">
        <f>+G92/'(4)MantenimientoyCambiodeconex'!G89</f>
        <v>1.12</v>
      </c>
      <c r="S92" s="759">
        <f>+H92/'(4)MantenimientoyCambiodeconex'!H89</f>
        <v>1.12</v>
      </c>
      <c r="U92" s="759">
        <f aca="true" t="shared" si="6" ref="U92:V96">+IF(R92=G92,0,1)</f>
        <v>1</v>
      </c>
      <c r="V92" s="759">
        <f t="shared" si="6"/>
        <v>1</v>
      </c>
    </row>
    <row r="93" spans="2:22" ht="12.75">
      <c r="B93" s="738"/>
      <c r="C93" s="643"/>
      <c r="D93" s="643"/>
      <c r="E93" s="645"/>
      <c r="F93" s="642" t="s">
        <v>150</v>
      </c>
      <c r="G93" s="849">
        <f>+'(4)MantenimientoyCambiodeconex'!G90*1.12</f>
        <v>0.98676368</v>
      </c>
      <c r="H93" s="849">
        <f>+'(4)MantenimientoyCambiodeconex'!H90*1.12</f>
        <v>0.8616809599999999</v>
      </c>
      <c r="I93" s="762"/>
      <c r="J93" s="762"/>
      <c r="K93" s="762"/>
      <c r="L93" s="762"/>
      <c r="M93" s="762"/>
      <c r="N93" s="762"/>
      <c r="O93" s="762"/>
      <c r="P93" s="762"/>
      <c r="R93" s="759">
        <f>+G93/'(4)MantenimientoyCambiodeconex'!G90</f>
        <v>1.12</v>
      </c>
      <c r="S93" s="759">
        <f>+H93/'(4)MantenimientoyCambiodeconex'!H90</f>
        <v>1.12</v>
      </c>
      <c r="U93" s="759">
        <f t="shared" si="6"/>
        <v>1</v>
      </c>
      <c r="V93" s="759">
        <f t="shared" si="6"/>
        <v>1</v>
      </c>
    </row>
    <row r="94" spans="2:22" ht="12.75">
      <c r="B94" s="799"/>
      <c r="C94" s="775"/>
      <c r="D94" s="775"/>
      <c r="E94" s="775"/>
      <c r="F94" s="642" t="s">
        <v>289</v>
      </c>
      <c r="G94" s="849">
        <f>+'(4)MantenimientoyCambiodeconex'!G91*1.12</f>
        <v>0.98676368</v>
      </c>
      <c r="H94" s="849">
        <f>+'(4)MantenimientoyCambiodeconex'!H91*1.12</f>
        <v>0.8616809599999999</v>
      </c>
      <c r="I94" s="762"/>
      <c r="J94" s="762"/>
      <c r="K94" s="762"/>
      <c r="L94" s="762"/>
      <c r="M94" s="762"/>
      <c r="N94" s="762"/>
      <c r="O94" s="762"/>
      <c r="P94" s="762"/>
      <c r="R94" s="759">
        <f>+G94/'(4)MantenimientoyCambiodeconex'!G91</f>
        <v>1.12</v>
      </c>
      <c r="S94" s="759">
        <f>+H94/'(4)MantenimientoyCambiodeconex'!H91</f>
        <v>1.12</v>
      </c>
      <c r="U94" s="759">
        <f t="shared" si="6"/>
        <v>1</v>
      </c>
      <c r="V94" s="759">
        <f t="shared" si="6"/>
        <v>1</v>
      </c>
    </row>
    <row r="95" spans="2:22" ht="12.75">
      <c r="B95" s="738"/>
      <c r="C95" s="643"/>
      <c r="D95" s="640" t="s">
        <v>14</v>
      </c>
      <c r="E95" s="641" t="s">
        <v>15</v>
      </c>
      <c r="F95" s="642" t="s">
        <v>149</v>
      </c>
      <c r="G95" s="849">
        <f>+'(4)MantenimientoyCambiodeconex'!G92*1.12</f>
        <v>0.98676368</v>
      </c>
      <c r="H95" s="849">
        <f>+'(4)MantenimientoyCambiodeconex'!H92*1.12</f>
        <v>0.8616809599999999</v>
      </c>
      <c r="I95" s="762"/>
      <c r="J95" s="762"/>
      <c r="K95" s="762"/>
      <c r="L95" s="762"/>
      <c r="M95" s="762"/>
      <c r="N95" s="762"/>
      <c r="O95" s="762"/>
      <c r="P95" s="762"/>
      <c r="R95" s="759">
        <f>+G95/'(4)MantenimientoyCambiodeconex'!G92</f>
        <v>1.12</v>
      </c>
      <c r="S95" s="759">
        <f>+H95/'(4)MantenimientoyCambiodeconex'!H92</f>
        <v>1.12</v>
      </c>
      <c r="U95" s="759">
        <f t="shared" si="6"/>
        <v>1</v>
      </c>
      <c r="V95" s="759">
        <f t="shared" si="6"/>
        <v>1</v>
      </c>
    </row>
    <row r="96" spans="2:23" ht="12.75">
      <c r="B96" s="724"/>
      <c r="C96" s="647"/>
      <c r="D96" s="647"/>
      <c r="E96" s="662"/>
      <c r="F96" s="642" t="s">
        <v>150</v>
      </c>
      <c r="G96" s="849">
        <f>+'(4)MantenimientoyCambiodeconex'!G93*1.12</f>
        <v>0.98676368</v>
      </c>
      <c r="H96" s="849">
        <f>+'(4)MantenimientoyCambiodeconex'!H93*1.12</f>
        <v>0.8616809599999999</v>
      </c>
      <c r="I96" s="762"/>
      <c r="J96" s="762"/>
      <c r="K96" s="762"/>
      <c r="L96" s="762"/>
      <c r="M96" s="762"/>
      <c r="N96" s="762"/>
      <c r="O96" s="762"/>
      <c r="P96" s="762"/>
      <c r="R96" s="759">
        <f>+G96/'(4)MantenimientoyCambiodeconex'!G93</f>
        <v>1.12</v>
      </c>
      <c r="S96" s="759">
        <f>+H96/'(4)MantenimientoyCambiodeconex'!H93</f>
        <v>1.12</v>
      </c>
      <c r="U96" s="759">
        <f t="shared" si="6"/>
        <v>1</v>
      </c>
      <c r="V96" s="759">
        <f t="shared" si="6"/>
        <v>1</v>
      </c>
      <c r="W96" s="800">
        <f>+SUM(U91:V96)</f>
        <v>12</v>
      </c>
    </row>
    <row r="97" spans="2:16" ht="12.75">
      <c r="B97" s="762" t="s">
        <v>276</v>
      </c>
      <c r="C97" s="762"/>
      <c r="D97" s="762"/>
      <c r="E97" s="762"/>
      <c r="F97" s="762"/>
      <c r="G97" s="762"/>
      <c r="H97" s="762"/>
      <c r="I97" s="762"/>
      <c r="J97" s="762"/>
      <c r="K97" s="762"/>
      <c r="L97" s="762"/>
      <c r="M97" s="762"/>
      <c r="N97" s="762"/>
      <c r="O97" s="762"/>
      <c r="P97" s="762"/>
    </row>
    <row r="98" spans="2:16" ht="12.75">
      <c r="B98" s="762" t="s">
        <v>277</v>
      </c>
      <c r="C98" s="762"/>
      <c r="D98" s="762"/>
      <c r="E98" s="762"/>
      <c r="F98" s="762"/>
      <c r="G98" s="762"/>
      <c r="H98" s="762"/>
      <c r="I98" s="762"/>
      <c r="J98" s="762"/>
      <c r="K98" s="762"/>
      <c r="L98" s="762"/>
      <c r="M98" s="762"/>
      <c r="N98" s="762"/>
      <c r="O98" s="762"/>
      <c r="P98" s="762"/>
    </row>
    <row r="99" spans="2:16" ht="12.75">
      <c r="B99" s="762" t="s">
        <v>278</v>
      </c>
      <c r="C99" s="762"/>
      <c r="D99" s="762"/>
      <c r="E99" s="762"/>
      <c r="F99" s="762"/>
      <c r="G99" s="762"/>
      <c r="H99" s="762"/>
      <c r="I99" s="762"/>
      <c r="J99" s="762"/>
      <c r="K99" s="762"/>
      <c r="L99" s="762"/>
      <c r="M99" s="762"/>
      <c r="N99" s="762"/>
      <c r="O99" s="762"/>
      <c r="P99" s="762"/>
    </row>
    <row r="100" spans="2:16" ht="12.75">
      <c r="B100" s="762"/>
      <c r="C100" s="762"/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</row>
    <row r="101" spans="2:16" ht="12.75">
      <c r="B101" s="762"/>
      <c r="C101" s="762"/>
      <c r="D101" s="762"/>
      <c r="E101" s="762"/>
      <c r="F101" s="762"/>
      <c r="G101" s="762"/>
      <c r="H101" s="762"/>
      <c r="I101" s="762"/>
      <c r="J101" s="762"/>
      <c r="K101" s="762"/>
      <c r="L101" s="762"/>
      <c r="M101" s="762"/>
      <c r="N101" s="762"/>
      <c r="O101" s="762"/>
      <c r="P101" s="762"/>
    </row>
    <row r="102" spans="2:16" ht="12.75">
      <c r="B102" s="762"/>
      <c r="C102" s="762"/>
      <c r="D102" s="762"/>
      <c r="E102" s="762"/>
      <c r="F102" s="762"/>
      <c r="G102" s="762"/>
      <c r="H102" s="762"/>
      <c r="I102" s="762"/>
      <c r="J102" s="762"/>
      <c r="K102" s="762"/>
      <c r="L102" s="762"/>
      <c r="M102" s="762"/>
      <c r="N102" s="762"/>
      <c r="O102" s="762"/>
      <c r="P102" s="762"/>
    </row>
    <row r="103" spans="2:16" ht="12.75">
      <c r="B103" s="762"/>
      <c r="C103" s="762"/>
      <c r="D103" s="762"/>
      <c r="E103" s="762"/>
      <c r="F103" s="762"/>
      <c r="G103" s="762"/>
      <c r="H103" s="762"/>
      <c r="I103" s="762"/>
      <c r="J103" s="762"/>
      <c r="K103" s="762"/>
      <c r="L103" s="762"/>
      <c r="M103" s="762"/>
      <c r="N103" s="762"/>
      <c r="O103" s="762"/>
      <c r="P103" s="762"/>
    </row>
    <row r="104" spans="2:16" ht="12.75">
      <c r="B104" s="762"/>
      <c r="C104" s="762"/>
      <c r="D104" s="762"/>
      <c r="E104" s="762"/>
      <c r="F104" s="762"/>
      <c r="G104" s="762"/>
      <c r="H104" s="762"/>
      <c r="I104" s="762"/>
      <c r="J104" s="762"/>
      <c r="K104" s="762"/>
      <c r="L104" s="762"/>
      <c r="M104" s="762"/>
      <c r="N104" s="762"/>
      <c r="O104" s="762"/>
      <c r="P104" s="762"/>
    </row>
    <row r="105" spans="2:16" ht="12.75">
      <c r="B105" s="762"/>
      <c r="C105" s="762"/>
      <c r="D105" s="762"/>
      <c r="E105" s="762"/>
      <c r="F105" s="762"/>
      <c r="G105" s="762"/>
      <c r="H105" s="762"/>
      <c r="I105" s="762"/>
      <c r="J105" s="762"/>
      <c r="K105" s="762"/>
      <c r="L105" s="762"/>
      <c r="M105" s="762"/>
      <c r="N105" s="762"/>
      <c r="O105" s="762"/>
      <c r="P105" s="762"/>
    </row>
    <row r="106" spans="2:16" ht="15.75">
      <c r="B106" s="632" t="s">
        <v>419</v>
      </c>
      <c r="C106" s="633"/>
      <c r="D106" s="633"/>
      <c r="E106" s="633"/>
      <c r="F106" s="633"/>
      <c r="G106" s="633"/>
      <c r="H106" s="633"/>
      <c r="I106" s="633"/>
      <c r="J106" s="633"/>
      <c r="K106" s="633"/>
      <c r="L106" s="633"/>
      <c r="M106" s="762"/>
      <c r="N106" s="762"/>
      <c r="O106" s="762"/>
      <c r="P106" s="762"/>
    </row>
    <row r="107" spans="2:16" ht="12.75">
      <c r="B107" s="633"/>
      <c r="C107" s="633"/>
      <c r="D107" s="633"/>
      <c r="E107" s="633"/>
      <c r="F107" s="633"/>
      <c r="G107" s="633"/>
      <c r="H107" s="633"/>
      <c r="I107" s="633"/>
      <c r="J107" s="633"/>
      <c r="K107" s="633"/>
      <c r="L107" s="633"/>
      <c r="M107" s="762"/>
      <c r="N107" s="762"/>
      <c r="O107" s="762"/>
      <c r="P107" s="762"/>
    </row>
    <row r="108" spans="2:16" ht="12.75">
      <c r="B108" s="633"/>
      <c r="C108" s="633"/>
      <c r="D108" s="633"/>
      <c r="E108" s="633"/>
      <c r="F108" s="633"/>
      <c r="G108" s="680" t="s">
        <v>98</v>
      </c>
      <c r="H108" s="681"/>
      <c r="I108" s="682" t="s">
        <v>99</v>
      </c>
      <c r="J108" s="681"/>
      <c r="K108" s="682" t="s">
        <v>245</v>
      </c>
      <c r="L108" s="681"/>
      <c r="M108" s="762"/>
      <c r="N108" s="762"/>
      <c r="O108" s="762"/>
      <c r="P108" s="762"/>
    </row>
    <row r="109" spans="2:16" ht="12.75">
      <c r="B109" s="635" t="s">
        <v>6</v>
      </c>
      <c r="C109" s="635" t="s">
        <v>3</v>
      </c>
      <c r="D109" s="669" t="s">
        <v>4</v>
      </c>
      <c r="E109" s="635" t="s">
        <v>7</v>
      </c>
      <c r="F109" s="669" t="s">
        <v>49</v>
      </c>
      <c r="G109" s="635" t="s">
        <v>35</v>
      </c>
      <c r="H109" s="635" t="s">
        <v>36</v>
      </c>
      <c r="I109" s="635" t="s">
        <v>35</v>
      </c>
      <c r="J109" s="635" t="s">
        <v>36</v>
      </c>
      <c r="K109" s="635" t="s">
        <v>35</v>
      </c>
      <c r="L109" s="635" t="s">
        <v>36</v>
      </c>
      <c r="M109" s="762"/>
      <c r="N109" s="762"/>
      <c r="O109" s="762"/>
      <c r="P109" s="762"/>
    </row>
    <row r="110" spans="2:16" ht="12.75">
      <c r="B110" s="797"/>
      <c r="C110" s="797"/>
      <c r="D110" s="799"/>
      <c r="E110" s="801" t="s">
        <v>86</v>
      </c>
      <c r="F110" s="802" t="s">
        <v>304</v>
      </c>
      <c r="G110" s="797"/>
      <c r="H110" s="797"/>
      <c r="I110" s="797"/>
      <c r="J110" s="797"/>
      <c r="K110" s="797"/>
      <c r="L110" s="797"/>
      <c r="M110" s="762"/>
      <c r="N110" s="762"/>
      <c r="O110" s="762"/>
      <c r="P110" s="762"/>
    </row>
    <row r="111" spans="2:30" ht="12.75">
      <c r="B111" s="640" t="s">
        <v>18</v>
      </c>
      <c r="C111" s="640" t="s">
        <v>37</v>
      </c>
      <c r="D111" s="650" t="s">
        <v>38</v>
      </c>
      <c r="E111" s="641" t="s">
        <v>39</v>
      </c>
      <c r="F111" s="803" t="s">
        <v>291</v>
      </c>
      <c r="G111" s="735">
        <f>+'(4)MantenimientoyCambiodeconex'!G106*1.12</f>
        <v>14.29420944</v>
      </c>
      <c r="H111" s="735">
        <f>+'(4)MantenimientoyCambiodeconex'!H106*1.12</f>
        <v>14.266426720000002</v>
      </c>
      <c r="I111" s="735">
        <f>+'(4)MantenimientoyCambiodeconex'!I106*1.12</f>
        <v>14.29420944</v>
      </c>
      <c r="J111" s="735">
        <f>+'(4)MantenimientoyCambiodeconex'!J106*1.12</f>
        <v>14.266426720000002</v>
      </c>
      <c r="K111" s="735">
        <f>+'(4)MantenimientoyCambiodeconex'!K106*1.12</f>
        <v>14.947103360000002</v>
      </c>
      <c r="L111" s="735">
        <f>+'(4)MantenimientoyCambiodeconex'!L106*1.12</f>
        <v>15.252713280000002</v>
      </c>
      <c r="M111" s="762"/>
      <c r="N111" s="851"/>
      <c r="O111" s="851"/>
      <c r="P111" s="851"/>
      <c r="R111" s="759">
        <f>+G111/'(4)MantenimientoyCambiodeconex'!G106</f>
        <v>1.12</v>
      </c>
      <c r="S111" s="759">
        <f>+H111/'(4)MantenimientoyCambiodeconex'!H106</f>
        <v>1.12</v>
      </c>
      <c r="T111" s="759">
        <f>+I111/'(4)MantenimientoyCambiodeconex'!I106</f>
        <v>1.12</v>
      </c>
      <c r="U111" s="759">
        <f>+J111/'(4)MantenimientoyCambiodeconex'!J106</f>
        <v>1.12</v>
      </c>
      <c r="V111" s="759">
        <f>+K111/'(4)MantenimientoyCambiodeconex'!K106</f>
        <v>1.12</v>
      </c>
      <c r="W111" s="759">
        <f>+L111/'(4)MantenimientoyCambiodeconex'!L106</f>
        <v>1.12</v>
      </c>
      <c r="Y111" s="759">
        <f>+IF(R111=G111,0,1)</f>
        <v>1</v>
      </c>
      <c r="Z111" s="759">
        <f aca="true" t="shared" si="7" ref="Z111:AD115">+IF(S111=H111,0,1)</f>
        <v>1</v>
      </c>
      <c r="AA111" s="759">
        <f t="shared" si="7"/>
        <v>1</v>
      </c>
      <c r="AB111" s="759">
        <f t="shared" si="7"/>
        <v>1</v>
      </c>
      <c r="AC111" s="759">
        <f t="shared" si="7"/>
        <v>1</v>
      </c>
      <c r="AD111" s="759">
        <f t="shared" si="7"/>
        <v>1</v>
      </c>
    </row>
    <row r="112" spans="2:30" ht="12.75">
      <c r="B112" s="643"/>
      <c r="C112" s="643"/>
      <c r="D112" s="650" t="s">
        <v>41</v>
      </c>
      <c r="E112" s="641" t="s">
        <v>42</v>
      </c>
      <c r="F112" s="803" t="s">
        <v>291</v>
      </c>
      <c r="G112" s="735">
        <f>+'(4)MantenimientoyCambiodeconex'!G107*1.12</f>
        <v>14.29420944</v>
      </c>
      <c r="H112" s="735">
        <f>+'(4)MantenimientoyCambiodeconex'!H107*1.12</f>
        <v>14.266426720000002</v>
      </c>
      <c r="I112" s="735">
        <f>+'(4)MantenimientoyCambiodeconex'!I107*1.12</f>
        <v>14.29420944</v>
      </c>
      <c r="J112" s="735">
        <f>+'(4)MantenimientoyCambiodeconex'!J107*1.12</f>
        <v>14.266426720000002</v>
      </c>
      <c r="K112" s="735">
        <f>+'(4)MantenimientoyCambiodeconex'!K107*1.12</f>
        <v>14.947103360000002</v>
      </c>
      <c r="L112" s="735">
        <f>+'(4)MantenimientoyCambiodeconex'!L107*1.12</f>
        <v>15.252713280000002</v>
      </c>
      <c r="M112" s="762"/>
      <c r="N112" s="762"/>
      <c r="O112" s="762"/>
      <c r="P112" s="762"/>
      <c r="R112" s="759">
        <f>+G112/'(4)MantenimientoyCambiodeconex'!G107</f>
        <v>1.12</v>
      </c>
      <c r="S112" s="759">
        <f>+H112/'(4)MantenimientoyCambiodeconex'!H107</f>
        <v>1.12</v>
      </c>
      <c r="T112" s="759">
        <f>+I112/'(4)MantenimientoyCambiodeconex'!I107</f>
        <v>1.12</v>
      </c>
      <c r="U112" s="759">
        <f>+J112/'(4)MantenimientoyCambiodeconex'!J107</f>
        <v>1.12</v>
      </c>
      <c r="V112" s="759">
        <f>+K112/'(4)MantenimientoyCambiodeconex'!K107</f>
        <v>1.12</v>
      </c>
      <c r="W112" s="759">
        <f>+L112/'(4)MantenimientoyCambiodeconex'!L107</f>
        <v>1.12</v>
      </c>
      <c r="Y112" s="759">
        <f>+IF(R112=G112,0,1)</f>
        <v>1</v>
      </c>
      <c r="Z112" s="759">
        <f t="shared" si="7"/>
        <v>1</v>
      </c>
      <c r="AA112" s="759">
        <f t="shared" si="7"/>
        <v>1</v>
      </c>
      <c r="AB112" s="759">
        <f t="shared" si="7"/>
        <v>1</v>
      </c>
      <c r="AC112" s="759">
        <f t="shared" si="7"/>
        <v>1</v>
      </c>
      <c r="AD112" s="759">
        <f t="shared" si="7"/>
        <v>1</v>
      </c>
    </row>
    <row r="113" spans="2:30" ht="12.75">
      <c r="B113" s="643"/>
      <c r="C113" s="643"/>
      <c r="D113" s="650" t="s">
        <v>43</v>
      </c>
      <c r="E113" s="641" t="s">
        <v>44</v>
      </c>
      <c r="F113" s="803" t="s">
        <v>291</v>
      </c>
      <c r="G113" s="735">
        <f>+'(4)MantenimientoyCambiodeconex'!G108*1.12</f>
        <v>14.29420944</v>
      </c>
      <c r="H113" s="735">
        <f>+'(4)MantenimientoyCambiodeconex'!H108*1.12</f>
        <v>14.266426720000002</v>
      </c>
      <c r="I113" s="735">
        <f>+'(4)MantenimientoyCambiodeconex'!I108*1.12</f>
        <v>14.29420944</v>
      </c>
      <c r="J113" s="735">
        <f>+'(4)MantenimientoyCambiodeconex'!J108*1.12</f>
        <v>14.266426720000002</v>
      </c>
      <c r="K113" s="735">
        <f>+'(4)MantenimientoyCambiodeconex'!K108*1.12</f>
        <v>14.947103360000002</v>
      </c>
      <c r="L113" s="735">
        <f>+'(4)MantenimientoyCambiodeconex'!L108*1.12</f>
        <v>15.252713280000002</v>
      </c>
      <c r="M113" s="762"/>
      <c r="N113" s="762"/>
      <c r="O113" s="762"/>
      <c r="P113" s="762"/>
      <c r="R113" s="759">
        <f>+G113/'(4)MantenimientoyCambiodeconex'!G108</f>
        <v>1.12</v>
      </c>
      <c r="S113" s="759">
        <f>+H113/'(4)MantenimientoyCambiodeconex'!H108</f>
        <v>1.12</v>
      </c>
      <c r="T113" s="759">
        <f>+I113/'(4)MantenimientoyCambiodeconex'!I108</f>
        <v>1.12</v>
      </c>
      <c r="U113" s="759">
        <f>+J113/'(4)MantenimientoyCambiodeconex'!J108</f>
        <v>1.12</v>
      </c>
      <c r="V113" s="759">
        <f>+K113/'(4)MantenimientoyCambiodeconex'!K108</f>
        <v>1.12</v>
      </c>
      <c r="W113" s="759">
        <f>+L113/'(4)MantenimientoyCambiodeconex'!L108</f>
        <v>1.12</v>
      </c>
      <c r="Y113" s="759">
        <f>+IF(R113=G113,0,1)</f>
        <v>1</v>
      </c>
      <c r="Z113" s="759">
        <f t="shared" si="7"/>
        <v>1</v>
      </c>
      <c r="AA113" s="759">
        <f t="shared" si="7"/>
        <v>1</v>
      </c>
      <c r="AB113" s="759">
        <f t="shared" si="7"/>
        <v>1</v>
      </c>
      <c r="AC113" s="759">
        <f t="shared" si="7"/>
        <v>1</v>
      </c>
      <c r="AD113" s="759">
        <f t="shared" si="7"/>
        <v>1</v>
      </c>
    </row>
    <row r="114" spans="2:30" ht="12.75" customHeight="1">
      <c r="B114" s="643"/>
      <c r="C114" s="643"/>
      <c r="D114" s="687" t="s">
        <v>45</v>
      </c>
      <c r="E114" s="641" t="s">
        <v>46</v>
      </c>
      <c r="F114" s="803" t="s">
        <v>291</v>
      </c>
      <c r="G114" s="735">
        <f>+'(4)MantenimientoyCambiodeconex'!G109*1.12</f>
        <v>14.29420944</v>
      </c>
      <c r="H114" s="735">
        <f>+'(4)MantenimientoyCambiodeconex'!H109*1.12</f>
        <v>14.266426720000002</v>
      </c>
      <c r="I114" s="735">
        <f>+'(4)MantenimientoyCambiodeconex'!I109*1.12</f>
        <v>14.29420944</v>
      </c>
      <c r="J114" s="735">
        <f>+'(4)MantenimientoyCambiodeconex'!J109*1.12</f>
        <v>14.266426720000002</v>
      </c>
      <c r="K114" s="735">
        <f>+'(4)MantenimientoyCambiodeconex'!K109*1.12</f>
        <v>14.947103360000002</v>
      </c>
      <c r="L114" s="735">
        <f>+'(4)MantenimientoyCambiodeconex'!L109*1.12</f>
        <v>15.252713280000002</v>
      </c>
      <c r="M114" s="762"/>
      <c r="N114" s="762"/>
      <c r="O114" s="762"/>
      <c r="P114" s="762"/>
      <c r="R114" s="759">
        <f>+G114/'(4)MantenimientoyCambiodeconex'!G109</f>
        <v>1.12</v>
      </c>
      <c r="S114" s="759">
        <f>+H114/'(4)MantenimientoyCambiodeconex'!H109</f>
        <v>1.12</v>
      </c>
      <c r="T114" s="759">
        <f>+I114/'(4)MantenimientoyCambiodeconex'!I109</f>
        <v>1.12</v>
      </c>
      <c r="U114" s="759">
        <f>+J114/'(4)MantenimientoyCambiodeconex'!J109</f>
        <v>1.12</v>
      </c>
      <c r="V114" s="759">
        <f>+K114/'(4)MantenimientoyCambiodeconex'!K109</f>
        <v>1.12</v>
      </c>
      <c r="W114" s="759">
        <f>+L114/'(4)MantenimientoyCambiodeconex'!L109</f>
        <v>1.12</v>
      </c>
      <c r="Y114" s="759">
        <f>+IF(R114=G114,0,1)</f>
        <v>1</v>
      </c>
      <c r="Z114" s="759">
        <f t="shared" si="7"/>
        <v>1</v>
      </c>
      <c r="AA114" s="759">
        <f t="shared" si="7"/>
        <v>1</v>
      </c>
      <c r="AB114" s="759">
        <f t="shared" si="7"/>
        <v>1</v>
      </c>
      <c r="AC114" s="759">
        <f t="shared" si="7"/>
        <v>1</v>
      </c>
      <c r="AD114" s="759">
        <f t="shared" si="7"/>
        <v>1</v>
      </c>
    </row>
    <row r="115" spans="2:31" ht="12.75" customHeight="1">
      <c r="B115" s="797"/>
      <c r="C115" s="797"/>
      <c r="D115" s="688" t="s">
        <v>177</v>
      </c>
      <c r="E115" s="666" t="s">
        <v>176</v>
      </c>
      <c r="F115" s="803" t="s">
        <v>291</v>
      </c>
      <c r="G115" s="735">
        <f>+'(4)MantenimientoyCambiodeconex'!G110*1.12</f>
        <v>14.947103360000002</v>
      </c>
      <c r="H115" s="735">
        <f>+'(4)MantenimientoyCambiodeconex'!H110*1.12</f>
        <v>15.252713280000002</v>
      </c>
      <c r="I115" s="735">
        <f>+'(4)MantenimientoyCambiodeconex'!I110*1.12</f>
        <v>14.947103360000002</v>
      </c>
      <c r="J115" s="735">
        <f>+'(4)MantenimientoyCambiodeconex'!J110*1.12</f>
        <v>15.252713280000002</v>
      </c>
      <c r="K115" s="735">
        <f>+'(4)MantenimientoyCambiodeconex'!K110*1.12</f>
        <v>15.933389920000002</v>
      </c>
      <c r="L115" s="735">
        <f>+'(4)MantenimientoyCambiodeconex'!L110*1.12</f>
        <v>15.961172640000001</v>
      </c>
      <c r="M115" s="762"/>
      <c r="N115" s="851"/>
      <c r="O115" s="762"/>
      <c r="P115" s="762"/>
      <c r="R115" s="759">
        <f>+G115/'(4)MantenimientoyCambiodeconex'!G110</f>
        <v>1.12</v>
      </c>
      <c r="S115" s="759">
        <f>+H115/'(4)MantenimientoyCambiodeconex'!H110</f>
        <v>1.12</v>
      </c>
      <c r="T115" s="759">
        <f>+I115/'(4)MantenimientoyCambiodeconex'!I110</f>
        <v>1.12</v>
      </c>
      <c r="U115" s="759">
        <f>+J115/'(4)MantenimientoyCambiodeconex'!J110</f>
        <v>1.12</v>
      </c>
      <c r="V115" s="759">
        <f>+K115/'(4)MantenimientoyCambiodeconex'!K110</f>
        <v>1.12</v>
      </c>
      <c r="W115" s="759">
        <f>+L115/'(4)MantenimientoyCambiodeconex'!L110</f>
        <v>1.12</v>
      </c>
      <c r="Y115" s="759">
        <f>+IF(R115=G115,0,1)</f>
        <v>1</v>
      </c>
      <c r="Z115" s="759">
        <f t="shared" si="7"/>
        <v>1</v>
      </c>
      <c r="AA115" s="759">
        <f t="shared" si="7"/>
        <v>1</v>
      </c>
      <c r="AB115" s="759">
        <f t="shared" si="7"/>
        <v>1</v>
      </c>
      <c r="AC115" s="759">
        <f>+IF(V115=K115,0,1)</f>
        <v>1</v>
      </c>
      <c r="AD115" s="759">
        <f>+IF(W115=L115,0,1)</f>
        <v>1</v>
      </c>
      <c r="AE115" s="804">
        <f>+SUM(Y111:AD115)</f>
        <v>30</v>
      </c>
    </row>
  </sheetData>
  <sheetProtection/>
  <mergeCells count="16">
    <mergeCell ref="I57:J57"/>
    <mergeCell ref="K57:L57"/>
    <mergeCell ref="M57:N57"/>
    <mergeCell ref="O57:P57"/>
    <mergeCell ref="G78:H78"/>
    <mergeCell ref="I78:J78"/>
    <mergeCell ref="K78:L78"/>
    <mergeCell ref="M78:N78"/>
    <mergeCell ref="I8:J8"/>
    <mergeCell ref="K8:L8"/>
    <mergeCell ref="M8:N8"/>
    <mergeCell ref="O8:P8"/>
    <mergeCell ref="G41:H41"/>
    <mergeCell ref="I41:J41"/>
    <mergeCell ref="K41:L41"/>
    <mergeCell ref="M41:N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headerFoot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2:H25"/>
  <sheetViews>
    <sheetView zoomScalePageLayoutView="0" workbookViewId="0" topLeftCell="A1">
      <selection activeCell="E1" sqref="E1"/>
    </sheetView>
  </sheetViews>
  <sheetFormatPr defaultColWidth="11.421875" defaultRowHeight="12.75"/>
  <cols>
    <col min="3" max="3" width="19.57421875" style="0" customWidth="1"/>
    <col min="4" max="4" width="16.00390625" style="0" customWidth="1"/>
    <col min="7" max="7" width="33.140625" style="0" bestFit="1" customWidth="1"/>
  </cols>
  <sheetData>
    <row r="2" spans="3:7" ht="12.75">
      <c r="C2" s="1" t="s">
        <v>459</v>
      </c>
      <c r="G2" s="1" t="s">
        <v>427</v>
      </c>
    </row>
    <row r="3" spans="3:8" ht="15">
      <c r="C3" s="210" t="s">
        <v>247</v>
      </c>
      <c r="D3" s="212" t="s">
        <v>268</v>
      </c>
      <c r="G3" s="210" t="s">
        <v>247</v>
      </c>
      <c r="H3" s="212" t="s">
        <v>268</v>
      </c>
    </row>
    <row r="4" spans="3:8" ht="30">
      <c r="C4" s="211"/>
      <c r="D4" s="213" t="s">
        <v>269</v>
      </c>
      <c r="G4" s="211"/>
      <c r="H4" s="213" t="s">
        <v>269</v>
      </c>
    </row>
    <row r="5" spans="3:8" ht="15">
      <c r="C5" s="208" t="s">
        <v>248</v>
      </c>
      <c r="D5" s="209">
        <v>0</v>
      </c>
      <c r="G5" s="208" t="s">
        <v>248</v>
      </c>
      <c r="H5" s="209">
        <v>0.02</v>
      </c>
    </row>
    <row r="6" spans="3:8" ht="15">
      <c r="C6" s="206" t="s">
        <v>251</v>
      </c>
      <c r="D6" s="207">
        <v>-0.01</v>
      </c>
      <c r="G6" s="206" t="s">
        <v>249</v>
      </c>
      <c r="H6" s="207">
        <v>0.01</v>
      </c>
    </row>
    <row r="7" spans="3:8" ht="15">
      <c r="C7" s="206" t="s">
        <v>252</v>
      </c>
      <c r="D7" s="207">
        <v>-0.01</v>
      </c>
      <c r="G7" s="206" t="s">
        <v>250</v>
      </c>
      <c r="H7" s="207">
        <v>-0.02</v>
      </c>
    </row>
    <row r="8" spans="3:8" ht="15">
      <c r="C8" s="206" t="s">
        <v>253</v>
      </c>
      <c r="D8" s="207">
        <v>0</v>
      </c>
      <c r="G8" s="206" t="s">
        <v>251</v>
      </c>
      <c r="H8" s="207">
        <v>0</v>
      </c>
    </row>
    <row r="9" spans="3:8" ht="15">
      <c r="C9" s="206" t="s">
        <v>263</v>
      </c>
      <c r="D9" s="207">
        <v>0</v>
      </c>
      <c r="G9" s="206" t="s">
        <v>252</v>
      </c>
      <c r="H9" s="207">
        <v>0.01</v>
      </c>
    </row>
    <row r="10" spans="3:8" ht="15">
      <c r="C10" s="206" t="s">
        <v>254</v>
      </c>
      <c r="D10" s="207">
        <v>0</v>
      </c>
      <c r="G10" s="206" t="s">
        <v>253</v>
      </c>
      <c r="H10" s="207">
        <v>0.01</v>
      </c>
    </row>
    <row r="11" spans="3:8" ht="15">
      <c r="C11" s="206" t="s">
        <v>264</v>
      </c>
      <c r="D11" s="207">
        <v>-0.01</v>
      </c>
      <c r="G11" s="206" t="s">
        <v>263</v>
      </c>
      <c r="H11" s="207">
        <v>0.02</v>
      </c>
    </row>
    <row r="12" spans="3:8" ht="15">
      <c r="C12" s="206" t="s">
        <v>265</v>
      </c>
      <c r="D12" s="207">
        <v>-0.01</v>
      </c>
      <c r="G12" s="206" t="s">
        <v>254</v>
      </c>
      <c r="H12" s="207">
        <v>0.01</v>
      </c>
    </row>
    <row r="13" spans="3:8" ht="15">
      <c r="C13" s="206" t="s">
        <v>255</v>
      </c>
      <c r="D13" s="207">
        <v>-0.01</v>
      </c>
      <c r="G13" s="206" t="s">
        <v>264</v>
      </c>
      <c r="H13" s="207">
        <v>0.02</v>
      </c>
    </row>
    <row r="14" spans="3:8" ht="15">
      <c r="C14" s="206" t="s">
        <v>266</v>
      </c>
      <c r="D14" s="207">
        <v>0</v>
      </c>
      <c r="G14" s="206" t="s">
        <v>265</v>
      </c>
      <c r="H14" s="207">
        <v>0.02</v>
      </c>
    </row>
    <row r="15" spans="3:8" ht="15">
      <c r="C15" s="206" t="s">
        <v>256</v>
      </c>
      <c r="D15" s="207">
        <v>0</v>
      </c>
      <c r="G15" s="206" t="s">
        <v>255</v>
      </c>
      <c r="H15" s="207">
        <v>0.02</v>
      </c>
    </row>
    <row r="16" spans="3:8" ht="15">
      <c r="C16" s="206" t="s">
        <v>257</v>
      </c>
      <c r="D16" s="207">
        <v>0</v>
      </c>
      <c r="G16" s="206" t="s">
        <v>266</v>
      </c>
      <c r="H16" s="207">
        <v>0.02</v>
      </c>
    </row>
    <row r="17" spans="3:8" ht="15">
      <c r="C17" s="206" t="s">
        <v>267</v>
      </c>
      <c r="D17" s="207">
        <v>-0.01</v>
      </c>
      <c r="G17" s="206" t="s">
        <v>256</v>
      </c>
      <c r="H17" s="207">
        <v>0.01</v>
      </c>
    </row>
    <row r="18" spans="3:8" ht="15">
      <c r="C18" s="206" t="s">
        <v>258</v>
      </c>
      <c r="D18" s="207">
        <v>-0.01</v>
      </c>
      <c r="G18" s="206" t="s">
        <v>257</v>
      </c>
      <c r="H18" s="207">
        <v>0.01</v>
      </c>
    </row>
    <row r="19" spans="3:8" ht="15">
      <c r="C19" s="888" t="s">
        <v>431</v>
      </c>
      <c r="D19" s="889">
        <v>0.01</v>
      </c>
      <c r="G19" s="206" t="s">
        <v>267</v>
      </c>
      <c r="H19" s="207">
        <v>0.02</v>
      </c>
    </row>
    <row r="20" spans="3:8" ht="15">
      <c r="C20" s="206" t="s">
        <v>259</v>
      </c>
      <c r="D20" s="207">
        <v>0</v>
      </c>
      <c r="G20" s="206" t="s">
        <v>258</v>
      </c>
      <c r="H20" s="207">
        <v>0.02</v>
      </c>
    </row>
    <row r="21" spans="3:8" ht="15">
      <c r="C21" s="206" t="s">
        <v>260</v>
      </c>
      <c r="D21" s="207">
        <v>0.01</v>
      </c>
      <c r="G21" s="206" t="s">
        <v>259</v>
      </c>
      <c r="H21" s="207">
        <v>0.02</v>
      </c>
    </row>
    <row r="22" spans="3:8" ht="15">
      <c r="C22" s="206" t="s">
        <v>261</v>
      </c>
      <c r="D22" s="207">
        <v>-0.01</v>
      </c>
      <c r="G22" s="206" t="s">
        <v>260</v>
      </c>
      <c r="H22" s="207">
        <v>-0.01</v>
      </c>
    </row>
    <row r="23" spans="3:8" ht="15">
      <c r="C23" s="206" t="s">
        <v>262</v>
      </c>
      <c r="D23" s="207">
        <v>-0.01</v>
      </c>
      <c r="G23" s="206" t="s">
        <v>261</v>
      </c>
      <c r="H23" s="207">
        <v>0</v>
      </c>
    </row>
    <row r="24" spans="4:8" ht="15">
      <c r="D24" s="468">
        <f>SUM(D5:D23)</f>
        <v>-0.07</v>
      </c>
      <c r="G24" s="206" t="s">
        <v>262</v>
      </c>
      <c r="H24" s="207">
        <v>0.02</v>
      </c>
    </row>
    <row r="25" ht="12.75">
      <c r="H25" s="865">
        <f>SUM(H5:H24)</f>
        <v>0.22999999999999998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3"/>
  <sheetViews>
    <sheetView showGridLines="0" zoomScaleSheetLayoutView="100" zoomScalePageLayoutView="0" workbookViewId="0" topLeftCell="A1">
      <selection activeCell="C17" sqref="C17"/>
    </sheetView>
  </sheetViews>
  <sheetFormatPr defaultColWidth="11.421875" defaultRowHeight="12.75"/>
  <cols>
    <col min="1" max="1" width="11.421875" style="2" customWidth="1"/>
    <col min="2" max="2" width="5.7109375" style="37" customWidth="1"/>
    <col min="3" max="3" width="8.7109375" style="37" customWidth="1"/>
    <col min="4" max="4" width="12.7109375" style="37" customWidth="1"/>
    <col min="5" max="5" width="25.7109375" style="37" customWidth="1"/>
    <col min="6" max="7" width="14.7109375" style="37" customWidth="1"/>
    <col min="8" max="8" width="21.28125" style="37" customWidth="1"/>
    <col min="9" max="9" width="15.421875" style="37" customWidth="1"/>
    <col min="10" max="10" width="40.7109375" style="37" customWidth="1"/>
    <col min="11" max="11" width="14.7109375" style="37" customWidth="1"/>
    <col min="12" max="12" width="12.7109375" style="37" customWidth="1"/>
    <col min="13" max="16384" width="11.421875" style="2" customWidth="1"/>
  </cols>
  <sheetData>
    <row r="2" spans="2:10" ht="26.25">
      <c r="B2" s="929" t="s">
        <v>400</v>
      </c>
      <c r="C2" s="929"/>
      <c r="D2" s="929"/>
      <c r="E2" s="929"/>
      <c r="F2" s="929"/>
      <c r="G2" s="929"/>
      <c r="H2" s="929"/>
      <c r="I2" s="929"/>
      <c r="J2" s="929"/>
    </row>
    <row r="3" spans="2:12" ht="18.75">
      <c r="B3" s="79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2:12" ht="18.75">
      <c r="B5" s="79" t="s">
        <v>179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2:10" ht="15">
      <c r="B7" s="58" t="s">
        <v>3</v>
      </c>
      <c r="C7" s="58" t="s">
        <v>4</v>
      </c>
      <c r="D7" s="58" t="s">
        <v>6</v>
      </c>
      <c r="E7" s="58" t="s">
        <v>7</v>
      </c>
      <c r="F7" s="59" t="s">
        <v>1</v>
      </c>
      <c r="G7" s="73" t="s">
        <v>2</v>
      </c>
      <c r="H7" s="56"/>
      <c r="I7" s="56"/>
      <c r="J7" s="56"/>
    </row>
    <row r="8" spans="2:7" ht="15">
      <c r="B8" s="60"/>
      <c r="C8" s="60"/>
      <c r="D8" s="60"/>
      <c r="E8" s="60" t="s">
        <v>156</v>
      </c>
      <c r="G8" s="218"/>
    </row>
    <row r="9" spans="2:10" ht="15">
      <c r="B9" s="61" t="s">
        <v>9</v>
      </c>
      <c r="C9" s="62" t="s">
        <v>10</v>
      </c>
      <c r="D9" s="61" t="s">
        <v>11</v>
      </c>
      <c r="E9" s="63" t="s">
        <v>12</v>
      </c>
      <c r="F9" s="214" t="s">
        <v>178</v>
      </c>
      <c r="G9" s="61" t="s">
        <v>178</v>
      </c>
      <c r="H9" s="56"/>
      <c r="I9" s="56"/>
      <c r="J9" s="56"/>
    </row>
    <row r="10" spans="2:7" ht="15">
      <c r="B10" s="64"/>
      <c r="C10" s="65"/>
      <c r="D10" s="64"/>
      <c r="E10" s="66"/>
      <c r="F10" s="215" t="s">
        <v>13</v>
      </c>
      <c r="G10" s="67" t="s">
        <v>13</v>
      </c>
    </row>
    <row r="11" spans="2:10" ht="15">
      <c r="B11" s="61" t="s">
        <v>9</v>
      </c>
      <c r="C11" s="62" t="s">
        <v>14</v>
      </c>
      <c r="D11" s="61" t="s">
        <v>11</v>
      </c>
      <c r="E11" s="63" t="s">
        <v>15</v>
      </c>
      <c r="F11" s="214" t="s">
        <v>178</v>
      </c>
      <c r="G11" s="61" t="s">
        <v>178</v>
      </c>
      <c r="H11" s="56"/>
      <c r="I11" s="56"/>
      <c r="J11" s="56"/>
    </row>
    <row r="12" spans="2:7" ht="15">
      <c r="B12" s="64"/>
      <c r="C12" s="65"/>
      <c r="D12" s="64"/>
      <c r="E12" s="68"/>
      <c r="F12" s="216" t="s">
        <v>13</v>
      </c>
      <c r="G12" s="64" t="s">
        <v>13</v>
      </c>
    </row>
    <row r="13" spans="2:10" ht="15">
      <c r="B13" s="61" t="s">
        <v>16</v>
      </c>
      <c r="C13" s="61" t="s">
        <v>17</v>
      </c>
      <c r="D13" s="61" t="s">
        <v>18</v>
      </c>
      <c r="E13" s="66" t="s">
        <v>19</v>
      </c>
      <c r="F13" s="215" t="s">
        <v>178</v>
      </c>
      <c r="G13" s="67" t="s">
        <v>178</v>
      </c>
      <c r="H13" s="56"/>
      <c r="I13" s="56"/>
      <c r="J13" s="56"/>
    </row>
    <row r="14" spans="2:7" ht="15">
      <c r="B14" s="67"/>
      <c r="C14" s="67"/>
      <c r="D14" s="67"/>
      <c r="E14" s="66"/>
      <c r="F14" s="215" t="s">
        <v>56</v>
      </c>
      <c r="G14" s="67" t="s">
        <v>56</v>
      </c>
    </row>
    <row r="15" spans="2:10" ht="15">
      <c r="B15" s="64"/>
      <c r="C15" s="64"/>
      <c r="D15" s="67"/>
      <c r="E15" s="66"/>
      <c r="F15" s="215" t="s">
        <v>20</v>
      </c>
      <c r="G15" s="67" t="s">
        <v>20</v>
      </c>
      <c r="H15" s="56"/>
      <c r="I15" s="56"/>
      <c r="J15" s="56"/>
    </row>
    <row r="16" spans="2:7" ht="15">
      <c r="B16" s="61" t="s">
        <v>16</v>
      </c>
      <c r="C16" s="61" t="s">
        <v>21</v>
      </c>
      <c r="D16" s="61" t="s">
        <v>18</v>
      </c>
      <c r="E16" s="63" t="s">
        <v>22</v>
      </c>
      <c r="F16" s="214" t="s">
        <v>178</v>
      </c>
      <c r="G16" s="61" t="s">
        <v>178</v>
      </c>
    </row>
    <row r="17" spans="2:10" ht="15">
      <c r="B17" s="67"/>
      <c r="C17" s="67"/>
      <c r="D17" s="67"/>
      <c r="E17" s="66"/>
      <c r="F17" s="215" t="s">
        <v>56</v>
      </c>
      <c r="G17" s="67" t="s">
        <v>56</v>
      </c>
      <c r="H17" s="56"/>
      <c r="I17" s="56"/>
      <c r="J17" s="56"/>
    </row>
    <row r="18" spans="2:7" ht="15">
      <c r="B18" s="64"/>
      <c r="C18" s="64"/>
      <c r="D18" s="67"/>
      <c r="E18" s="68"/>
      <c r="F18" s="216" t="s">
        <v>20</v>
      </c>
      <c r="G18" s="64" t="s">
        <v>20</v>
      </c>
    </row>
    <row r="19" spans="2:10" ht="15">
      <c r="B19" s="61" t="s">
        <v>23</v>
      </c>
      <c r="C19" s="61" t="s">
        <v>24</v>
      </c>
      <c r="D19" s="61" t="s">
        <v>18</v>
      </c>
      <c r="E19" s="66" t="s">
        <v>25</v>
      </c>
      <c r="F19" s="215" t="s">
        <v>178</v>
      </c>
      <c r="G19" s="67" t="s">
        <v>178</v>
      </c>
      <c r="H19" s="56"/>
      <c r="I19" s="56"/>
      <c r="J19" s="56"/>
    </row>
    <row r="20" spans="2:7" ht="15">
      <c r="B20" s="64"/>
      <c r="C20" s="64"/>
      <c r="D20" s="67"/>
      <c r="E20" s="66"/>
      <c r="F20" s="215" t="s">
        <v>20</v>
      </c>
      <c r="G20" s="67" t="s">
        <v>20</v>
      </c>
    </row>
    <row r="21" spans="2:10" ht="15">
      <c r="B21" s="61" t="s">
        <v>26</v>
      </c>
      <c r="C21" s="65" t="s">
        <v>27</v>
      </c>
      <c r="D21" s="69" t="s">
        <v>18</v>
      </c>
      <c r="E21" s="70" t="s">
        <v>28</v>
      </c>
      <c r="F21" s="217" t="s">
        <v>20</v>
      </c>
      <c r="G21" s="69" t="s">
        <v>20</v>
      </c>
      <c r="H21" s="56"/>
      <c r="I21" s="56"/>
      <c r="J21" s="56"/>
    </row>
    <row r="22" spans="2:7" ht="15">
      <c r="B22" s="67"/>
      <c r="C22" s="71" t="s">
        <v>29</v>
      </c>
      <c r="D22" s="69" t="s">
        <v>18</v>
      </c>
      <c r="E22" s="70" t="s">
        <v>30</v>
      </c>
      <c r="F22" s="219"/>
      <c r="G22" s="69" t="s">
        <v>20</v>
      </c>
    </row>
    <row r="23" spans="2:10" ht="15">
      <c r="B23" s="67"/>
      <c r="C23" s="71" t="s">
        <v>31</v>
      </c>
      <c r="D23" s="69" t="s">
        <v>18</v>
      </c>
      <c r="E23" s="70" t="s">
        <v>32</v>
      </c>
      <c r="F23" s="219"/>
      <c r="G23" s="69" t="s">
        <v>20</v>
      </c>
      <c r="H23" s="56"/>
      <c r="I23" s="56"/>
      <c r="J23" s="56"/>
    </row>
    <row r="24" spans="2:7" ht="15">
      <c r="B24" s="64"/>
      <c r="C24" s="71" t="s">
        <v>33</v>
      </c>
      <c r="D24" s="69" t="s">
        <v>18</v>
      </c>
      <c r="E24" s="70" t="s">
        <v>34</v>
      </c>
      <c r="F24" s="219"/>
      <c r="G24" s="69" t="s">
        <v>20</v>
      </c>
    </row>
    <row r="25" spans="2:10" ht="15">
      <c r="B25" s="57" t="s">
        <v>175</v>
      </c>
      <c r="C25" s="56"/>
      <c r="D25" s="56"/>
      <c r="E25" s="56"/>
      <c r="F25" s="56"/>
      <c r="G25" s="56"/>
      <c r="H25" s="56"/>
      <c r="I25" s="56"/>
      <c r="J25" s="56"/>
    </row>
    <row r="27" spans="2:12" ht="18.75">
      <c r="B27" s="79" t="s">
        <v>243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9" spans="2:12" ht="15">
      <c r="B29" s="58" t="s">
        <v>3</v>
      </c>
      <c r="C29" s="58" t="s">
        <v>4</v>
      </c>
      <c r="D29" s="58" t="s">
        <v>6</v>
      </c>
      <c r="E29" s="72" t="s">
        <v>7</v>
      </c>
      <c r="F29" s="73" t="s">
        <v>35</v>
      </c>
      <c r="G29" s="73" t="s">
        <v>36</v>
      </c>
      <c r="H29" s="56"/>
      <c r="I29" s="56"/>
      <c r="J29" s="74"/>
      <c r="K29" s="56"/>
      <c r="L29" s="56"/>
    </row>
    <row r="30" spans="2:12" ht="15">
      <c r="B30" s="60"/>
      <c r="C30" s="60"/>
      <c r="D30" s="60"/>
      <c r="E30" s="75" t="s">
        <v>156</v>
      </c>
      <c r="F30" s="76"/>
      <c r="G30" s="76"/>
      <c r="H30" s="56"/>
      <c r="I30" s="74"/>
      <c r="J30" s="74"/>
      <c r="K30" s="56"/>
      <c r="L30" s="56"/>
    </row>
    <row r="31" spans="2:12" ht="15">
      <c r="B31" s="61" t="s">
        <v>37</v>
      </c>
      <c r="C31" s="71" t="s">
        <v>38</v>
      </c>
      <c r="D31" s="69" t="s">
        <v>18</v>
      </c>
      <c r="E31" s="70" t="s">
        <v>39</v>
      </c>
      <c r="F31" s="69" t="s">
        <v>40</v>
      </c>
      <c r="G31" s="69" t="s">
        <v>40</v>
      </c>
      <c r="H31" s="56"/>
      <c r="I31" s="77"/>
      <c r="J31" s="77"/>
      <c r="K31" s="56"/>
      <c r="L31" s="56"/>
    </row>
    <row r="32" spans="2:12" ht="15">
      <c r="B32" s="67"/>
      <c r="C32" s="71" t="s">
        <v>41</v>
      </c>
      <c r="D32" s="69" t="s">
        <v>18</v>
      </c>
      <c r="E32" s="70" t="s">
        <v>42</v>
      </c>
      <c r="F32" s="69" t="s">
        <v>40</v>
      </c>
      <c r="G32" s="69" t="s">
        <v>40</v>
      </c>
      <c r="H32" s="56"/>
      <c r="I32" s="77"/>
      <c r="J32" s="77"/>
      <c r="K32" s="56"/>
      <c r="L32" s="56"/>
    </row>
    <row r="33" spans="2:12" ht="15">
      <c r="B33" s="67"/>
      <c r="C33" s="71" t="s">
        <v>43</v>
      </c>
      <c r="D33" s="69" t="s">
        <v>18</v>
      </c>
      <c r="E33" s="70" t="s">
        <v>44</v>
      </c>
      <c r="F33" s="69" t="s">
        <v>40</v>
      </c>
      <c r="G33" s="69" t="s">
        <v>40</v>
      </c>
      <c r="H33" s="56"/>
      <c r="I33" s="77"/>
      <c r="J33" s="77"/>
      <c r="K33" s="56"/>
      <c r="L33" s="56"/>
    </row>
    <row r="34" spans="2:10" ht="15">
      <c r="B34" s="67"/>
      <c r="C34" s="71" t="s">
        <v>45</v>
      </c>
      <c r="D34" s="69" t="s">
        <v>18</v>
      </c>
      <c r="E34" s="70" t="s">
        <v>46</v>
      </c>
      <c r="F34" s="69" t="s">
        <v>40</v>
      </c>
      <c r="G34" s="69" t="s">
        <v>40</v>
      </c>
      <c r="H34" s="56"/>
      <c r="I34" s="77"/>
      <c r="J34" s="77"/>
    </row>
    <row r="35" spans="2:10" ht="15">
      <c r="B35" s="78"/>
      <c r="C35" s="71" t="s">
        <v>177</v>
      </c>
      <c r="D35" s="69" t="s">
        <v>18</v>
      </c>
      <c r="E35" s="70" t="s">
        <v>176</v>
      </c>
      <c r="F35" s="69" t="s">
        <v>40</v>
      </c>
      <c r="G35" s="69" t="s">
        <v>40</v>
      </c>
      <c r="H35" s="56"/>
      <c r="I35" s="56"/>
      <c r="J35" s="56"/>
    </row>
    <row r="36" spans="2:10" ht="15">
      <c r="B36" s="57" t="s">
        <v>175</v>
      </c>
      <c r="C36" s="56"/>
      <c r="D36" s="56"/>
      <c r="E36" s="56"/>
      <c r="F36" s="56"/>
      <c r="G36" s="56"/>
      <c r="H36" s="56"/>
      <c r="I36" s="56"/>
      <c r="J36" s="56"/>
    </row>
    <row r="38" spans="2:10" ht="26.25">
      <c r="B38" s="929" t="s">
        <v>401</v>
      </c>
      <c r="C38" s="929"/>
      <c r="D38" s="929"/>
      <c r="E38" s="929"/>
      <c r="F38" s="929"/>
      <c r="G38" s="929"/>
      <c r="H38" s="929"/>
      <c r="I38" s="929"/>
      <c r="J38" s="929"/>
    </row>
    <row r="39" spans="2:10" ht="21">
      <c r="B39" s="39" t="s">
        <v>188</v>
      </c>
      <c r="C39" s="40"/>
      <c r="D39" s="40"/>
      <c r="E39" s="40"/>
      <c r="F39" s="40"/>
      <c r="G39" s="40"/>
      <c r="H39" s="40"/>
      <c r="I39" s="40"/>
      <c r="J39" s="40"/>
    </row>
    <row r="40" spans="2:10" ht="15">
      <c r="B40" s="40"/>
      <c r="C40" s="40"/>
      <c r="D40" s="40"/>
      <c r="E40" s="40"/>
      <c r="F40" s="40"/>
      <c r="G40" s="40"/>
      <c r="H40" s="40"/>
      <c r="I40" s="40"/>
      <c r="J40" s="40"/>
    </row>
    <row r="41" spans="2:10" ht="15">
      <c r="B41" s="41" t="s">
        <v>3</v>
      </c>
      <c r="C41" s="41" t="s">
        <v>4</v>
      </c>
      <c r="D41" s="41" t="s">
        <v>5</v>
      </c>
      <c r="E41" s="41" t="s">
        <v>6</v>
      </c>
      <c r="F41" s="41" t="s">
        <v>7</v>
      </c>
      <c r="G41" s="41" t="s">
        <v>189</v>
      </c>
      <c r="H41" s="41" t="s">
        <v>190</v>
      </c>
      <c r="I41" s="41" t="s">
        <v>191</v>
      </c>
      <c r="J41" s="41" t="s">
        <v>50</v>
      </c>
    </row>
    <row r="42" spans="2:10" ht="15">
      <c r="B42" s="42"/>
      <c r="C42" s="42"/>
      <c r="D42" s="42" t="s">
        <v>8</v>
      </c>
      <c r="E42" s="42"/>
      <c r="F42" s="42" t="s">
        <v>90</v>
      </c>
      <c r="G42" s="42"/>
      <c r="H42" s="42"/>
      <c r="I42" s="42"/>
      <c r="J42" s="42"/>
    </row>
    <row r="43" spans="2:10" ht="30">
      <c r="B43" s="43" t="s">
        <v>9</v>
      </c>
      <c r="C43" s="43" t="s">
        <v>192</v>
      </c>
      <c r="D43" s="43" t="s">
        <v>53</v>
      </c>
      <c r="E43" s="43" t="s">
        <v>11</v>
      </c>
      <c r="F43" s="44" t="s">
        <v>193</v>
      </c>
      <c r="G43" s="45"/>
      <c r="H43" s="44" t="s">
        <v>55</v>
      </c>
      <c r="I43" s="44" t="s">
        <v>56</v>
      </c>
      <c r="J43" s="46" t="s">
        <v>194</v>
      </c>
    </row>
    <row r="44" spans="2:10" ht="15">
      <c r="B44" s="47"/>
      <c r="C44" s="47"/>
      <c r="D44" s="43" t="s">
        <v>195</v>
      </c>
      <c r="E44" s="47"/>
      <c r="F44" s="43"/>
      <c r="G44" s="48"/>
      <c r="H44" s="49"/>
      <c r="I44" s="49"/>
      <c r="J44" s="50" t="s">
        <v>196</v>
      </c>
    </row>
    <row r="45" spans="2:10" ht="30">
      <c r="B45" s="43"/>
      <c r="C45" s="43"/>
      <c r="D45" s="43" t="s">
        <v>197</v>
      </c>
      <c r="E45" s="43"/>
      <c r="F45" s="43"/>
      <c r="G45" s="48"/>
      <c r="H45" s="44" t="s">
        <v>57</v>
      </c>
      <c r="I45" s="44" t="s">
        <v>58</v>
      </c>
      <c r="J45" s="46" t="s">
        <v>194</v>
      </c>
    </row>
    <row r="46" spans="2:10" ht="15">
      <c r="B46" s="43"/>
      <c r="C46" s="43"/>
      <c r="D46" s="43"/>
      <c r="E46" s="43"/>
      <c r="F46" s="43"/>
      <c r="G46" s="48"/>
      <c r="H46" s="43"/>
      <c r="I46" s="43"/>
      <c r="J46" s="50" t="s">
        <v>198</v>
      </c>
    </row>
    <row r="47" spans="2:10" ht="15">
      <c r="B47" s="43"/>
      <c r="C47" s="43"/>
      <c r="D47" s="43"/>
      <c r="E47" s="43"/>
      <c r="F47" s="43"/>
      <c r="G47" s="43"/>
      <c r="H47" s="51" t="s">
        <v>202</v>
      </c>
      <c r="I47" s="44" t="s">
        <v>185</v>
      </c>
      <c r="J47" s="46" t="s">
        <v>194</v>
      </c>
    </row>
    <row r="48" spans="2:10" ht="15">
      <c r="B48" s="43"/>
      <c r="C48" s="43"/>
      <c r="D48" s="43"/>
      <c r="E48" s="43"/>
      <c r="F48" s="43"/>
      <c r="G48" s="43" t="s">
        <v>54</v>
      </c>
      <c r="H48" s="48" t="s">
        <v>199</v>
      </c>
      <c r="I48" s="43"/>
      <c r="J48" s="52" t="s">
        <v>200</v>
      </c>
    </row>
    <row r="49" spans="2:10" ht="15">
      <c r="B49" s="43"/>
      <c r="C49" s="43"/>
      <c r="D49" s="43"/>
      <c r="E49" s="43"/>
      <c r="F49" s="43"/>
      <c r="G49" s="48"/>
      <c r="H49" s="53"/>
      <c r="I49" s="49"/>
      <c r="J49" s="50" t="s">
        <v>201</v>
      </c>
    </row>
    <row r="50" spans="2:10" ht="15">
      <c r="B50" s="43"/>
      <c r="C50" s="43"/>
      <c r="D50" s="43"/>
      <c r="E50" s="43"/>
      <c r="F50" s="43"/>
      <c r="G50" s="43"/>
      <c r="H50" s="51" t="s">
        <v>202</v>
      </c>
      <c r="I50" s="51" t="s">
        <v>185</v>
      </c>
      <c r="J50" s="46" t="s">
        <v>194</v>
      </c>
    </row>
    <row r="51" spans="2:10" ht="30">
      <c r="B51" s="43"/>
      <c r="C51" s="43"/>
      <c r="D51" s="43"/>
      <c r="E51" s="43"/>
      <c r="F51" s="43"/>
      <c r="G51" s="43"/>
      <c r="H51" s="48" t="s">
        <v>203</v>
      </c>
      <c r="I51" s="48"/>
      <c r="J51" s="52" t="s">
        <v>200</v>
      </c>
    </row>
    <row r="52" spans="2:10" ht="15">
      <c r="B52" s="43"/>
      <c r="C52" s="43"/>
      <c r="D52" s="43"/>
      <c r="E52" s="43"/>
      <c r="F52" s="43"/>
      <c r="G52" s="43"/>
      <c r="H52" s="53"/>
      <c r="I52" s="53"/>
      <c r="J52" s="50" t="s">
        <v>204</v>
      </c>
    </row>
    <row r="53" spans="2:10" ht="15">
      <c r="B53" s="43"/>
      <c r="C53" s="43"/>
      <c r="D53" s="43"/>
      <c r="E53" s="43"/>
      <c r="F53" s="43"/>
      <c r="G53" s="43"/>
      <c r="H53" s="44" t="s">
        <v>62</v>
      </c>
      <c r="I53" s="44" t="s">
        <v>63</v>
      </c>
      <c r="J53" s="46" t="s">
        <v>205</v>
      </c>
    </row>
    <row r="54" spans="2:10" ht="15">
      <c r="B54" s="43"/>
      <c r="C54" s="43"/>
      <c r="D54" s="43"/>
      <c r="E54" s="43"/>
      <c r="F54" s="43"/>
      <c r="G54" s="43"/>
      <c r="H54" s="43"/>
      <c r="I54" s="43"/>
      <c r="J54" s="52" t="s">
        <v>206</v>
      </c>
    </row>
    <row r="55" spans="2:10" ht="15">
      <c r="B55" s="43"/>
      <c r="C55" s="43"/>
      <c r="D55" s="43"/>
      <c r="E55" s="43"/>
      <c r="F55" s="43"/>
      <c r="G55" s="44"/>
      <c r="H55" s="44" t="s">
        <v>55</v>
      </c>
      <c r="I55" s="44" t="s">
        <v>56</v>
      </c>
      <c r="J55" s="46" t="s">
        <v>205</v>
      </c>
    </row>
    <row r="56" spans="2:10" ht="15">
      <c r="B56" s="43"/>
      <c r="C56" s="43"/>
      <c r="D56" s="43"/>
      <c r="E56" s="43"/>
      <c r="F56" s="43"/>
      <c r="G56" s="43"/>
      <c r="H56" s="49"/>
      <c r="I56" s="49"/>
      <c r="J56" s="50" t="s">
        <v>207</v>
      </c>
    </row>
    <row r="57" spans="2:10" ht="30">
      <c r="B57" s="43"/>
      <c r="C57" s="43"/>
      <c r="D57" s="43"/>
      <c r="E57" s="43"/>
      <c r="F57" s="43"/>
      <c r="G57" s="43"/>
      <c r="H57" s="44" t="s">
        <v>57</v>
      </c>
      <c r="I57" s="44" t="s">
        <v>58</v>
      </c>
      <c r="J57" s="46" t="s">
        <v>205</v>
      </c>
    </row>
    <row r="58" spans="2:10" ht="15">
      <c r="B58" s="43"/>
      <c r="C58" s="43"/>
      <c r="D58" s="43"/>
      <c r="E58" s="43"/>
      <c r="F58" s="43"/>
      <c r="G58" s="43"/>
      <c r="H58" s="49"/>
      <c r="I58" s="49"/>
      <c r="J58" s="50" t="s">
        <v>208</v>
      </c>
    </row>
    <row r="59" spans="2:10" ht="15">
      <c r="B59" s="43"/>
      <c r="C59" s="43"/>
      <c r="D59" s="43"/>
      <c r="E59" s="43"/>
      <c r="F59" s="43"/>
      <c r="G59" s="43"/>
      <c r="H59" s="44" t="s">
        <v>202</v>
      </c>
      <c r="I59" s="44" t="s">
        <v>185</v>
      </c>
      <c r="J59" s="46" t="s">
        <v>205</v>
      </c>
    </row>
    <row r="60" spans="2:10" ht="15">
      <c r="B60" s="43"/>
      <c r="C60" s="43"/>
      <c r="D60" s="43"/>
      <c r="E60" s="43"/>
      <c r="F60" s="43"/>
      <c r="G60" s="43"/>
      <c r="H60" s="43" t="s">
        <v>199</v>
      </c>
      <c r="I60" s="43"/>
      <c r="J60" s="52" t="s">
        <v>209</v>
      </c>
    </row>
    <row r="61" spans="2:10" ht="15">
      <c r="B61" s="43"/>
      <c r="C61" s="43"/>
      <c r="D61" s="43"/>
      <c r="E61" s="43"/>
      <c r="F61" s="43"/>
      <c r="G61" s="43" t="s">
        <v>2</v>
      </c>
      <c r="H61" s="49"/>
      <c r="I61" s="49"/>
      <c r="J61" s="50" t="s">
        <v>201</v>
      </c>
    </row>
    <row r="62" spans="2:10" ht="15">
      <c r="B62" s="43"/>
      <c r="C62" s="43"/>
      <c r="D62" s="43"/>
      <c r="E62" s="43"/>
      <c r="F62" s="43"/>
      <c r="G62" s="43"/>
      <c r="H62" s="44" t="s">
        <v>202</v>
      </c>
      <c r="I62" s="44" t="s">
        <v>185</v>
      </c>
      <c r="J62" s="46" t="s">
        <v>205</v>
      </c>
    </row>
    <row r="63" spans="2:10" ht="30">
      <c r="B63" s="43"/>
      <c r="C63" s="43"/>
      <c r="D63" s="43"/>
      <c r="E63" s="43"/>
      <c r="F63" s="43"/>
      <c r="G63" s="43"/>
      <c r="H63" s="43" t="s">
        <v>203</v>
      </c>
      <c r="I63" s="43"/>
      <c r="J63" s="52" t="s">
        <v>209</v>
      </c>
    </row>
    <row r="64" spans="2:10" ht="15">
      <c r="B64" s="43"/>
      <c r="C64" s="43"/>
      <c r="D64" s="43"/>
      <c r="E64" s="43"/>
      <c r="F64" s="43"/>
      <c r="G64" s="43"/>
      <c r="H64" s="49"/>
      <c r="I64" s="49"/>
      <c r="J64" s="50" t="s">
        <v>204</v>
      </c>
    </row>
    <row r="65" spans="2:10" ht="15">
      <c r="B65" s="43"/>
      <c r="C65" s="43"/>
      <c r="D65" s="43"/>
      <c r="E65" s="43"/>
      <c r="F65" s="43"/>
      <c r="G65" s="43"/>
      <c r="H65" s="44" t="s">
        <v>62</v>
      </c>
      <c r="I65" s="44" t="s">
        <v>63</v>
      </c>
      <c r="J65" s="46" t="s">
        <v>205</v>
      </c>
    </row>
    <row r="66" spans="2:10" ht="15">
      <c r="B66" s="49"/>
      <c r="C66" s="49"/>
      <c r="D66" s="49"/>
      <c r="E66" s="49"/>
      <c r="F66" s="49"/>
      <c r="G66" s="49"/>
      <c r="H66" s="49"/>
      <c r="I66" s="49"/>
      <c r="J66" s="50" t="s">
        <v>210</v>
      </c>
    </row>
    <row r="67" spans="2:10" ht="15">
      <c r="B67" s="54"/>
      <c r="C67" s="54"/>
      <c r="D67" s="54"/>
      <c r="E67" s="54"/>
      <c r="F67" s="54"/>
      <c r="G67" s="54"/>
      <c r="H67" s="54"/>
      <c r="I67" s="54"/>
      <c r="J67" s="55"/>
    </row>
    <row r="68" spans="2:10" ht="15">
      <c r="B68" s="40"/>
      <c r="C68" s="40"/>
      <c r="D68" s="40"/>
      <c r="E68" s="40"/>
      <c r="F68" s="40"/>
      <c r="G68" s="40"/>
      <c r="H68" s="40"/>
      <c r="I68" s="40"/>
      <c r="J68" s="40"/>
    </row>
    <row r="69" spans="2:10" ht="15">
      <c r="B69" s="41" t="s">
        <v>3</v>
      </c>
      <c r="C69" s="41" t="s">
        <v>4</v>
      </c>
      <c r="D69" s="41" t="s">
        <v>5</v>
      </c>
      <c r="E69" s="41" t="s">
        <v>6</v>
      </c>
      <c r="F69" s="41" t="s">
        <v>7</v>
      </c>
      <c r="G69" s="41" t="s">
        <v>189</v>
      </c>
      <c r="H69" s="41" t="s">
        <v>190</v>
      </c>
      <c r="I69" s="41" t="s">
        <v>191</v>
      </c>
      <c r="J69" s="41" t="s">
        <v>50</v>
      </c>
    </row>
    <row r="70" spans="2:10" ht="15">
      <c r="B70" s="42"/>
      <c r="C70" s="42"/>
      <c r="D70" s="42" t="s">
        <v>8</v>
      </c>
      <c r="E70" s="42"/>
      <c r="F70" s="42" t="s">
        <v>90</v>
      </c>
      <c r="G70" s="42"/>
      <c r="H70" s="42"/>
      <c r="I70" s="42"/>
      <c r="J70" s="42"/>
    </row>
    <row r="71" spans="2:10" ht="30">
      <c r="B71" s="44" t="s">
        <v>16</v>
      </c>
      <c r="C71" s="44" t="s">
        <v>211</v>
      </c>
      <c r="D71" s="44" t="s">
        <v>53</v>
      </c>
      <c r="E71" s="44" t="s">
        <v>18</v>
      </c>
      <c r="F71" s="44" t="s">
        <v>212</v>
      </c>
      <c r="G71" s="40"/>
      <c r="H71" s="44" t="s">
        <v>55</v>
      </c>
      <c r="I71" s="44" t="s">
        <v>56</v>
      </c>
      <c r="J71" s="46" t="s">
        <v>213</v>
      </c>
    </row>
    <row r="72" spans="2:10" ht="15">
      <c r="B72" s="43"/>
      <c r="C72" s="43"/>
      <c r="D72" s="43" t="s">
        <v>195</v>
      </c>
      <c r="E72" s="43"/>
      <c r="F72" s="43"/>
      <c r="G72" s="43"/>
      <c r="H72" s="49"/>
      <c r="I72" s="49"/>
      <c r="J72" s="50" t="s">
        <v>214</v>
      </c>
    </row>
    <row r="73" spans="2:10" ht="30">
      <c r="B73" s="43"/>
      <c r="C73" s="43"/>
      <c r="D73" s="43" t="s">
        <v>197</v>
      </c>
      <c r="E73" s="43"/>
      <c r="F73" s="43"/>
      <c r="G73" s="43"/>
      <c r="H73" s="44" t="s">
        <v>202</v>
      </c>
      <c r="I73" s="44" t="s">
        <v>185</v>
      </c>
      <c r="J73" s="46" t="s">
        <v>213</v>
      </c>
    </row>
    <row r="74" spans="2:10" ht="15">
      <c r="B74" s="43"/>
      <c r="C74" s="43"/>
      <c r="D74" s="43"/>
      <c r="E74" s="43"/>
      <c r="F74" s="43"/>
      <c r="G74" s="43" t="s">
        <v>54</v>
      </c>
      <c r="H74" s="49" t="s">
        <v>199</v>
      </c>
      <c r="I74" s="49"/>
      <c r="J74" s="50" t="s">
        <v>215</v>
      </c>
    </row>
    <row r="75" spans="2:10" ht="30">
      <c r="B75" s="43"/>
      <c r="C75" s="43"/>
      <c r="D75" s="43"/>
      <c r="E75" s="43"/>
      <c r="F75" s="43"/>
      <c r="G75" s="43"/>
      <c r="H75" s="44" t="s">
        <v>202</v>
      </c>
      <c r="I75" s="44" t="s">
        <v>185</v>
      </c>
      <c r="J75" s="46" t="s">
        <v>213</v>
      </c>
    </row>
    <row r="76" spans="2:10" ht="30">
      <c r="B76" s="43"/>
      <c r="C76" s="43"/>
      <c r="D76" s="43"/>
      <c r="E76" s="43"/>
      <c r="F76" s="43"/>
      <c r="G76" s="43"/>
      <c r="H76" s="49" t="s">
        <v>203</v>
      </c>
      <c r="I76" s="49"/>
      <c r="J76" s="50" t="s">
        <v>216</v>
      </c>
    </row>
    <row r="77" spans="2:10" ht="30">
      <c r="B77" s="43"/>
      <c r="C77" s="43"/>
      <c r="D77" s="43"/>
      <c r="E77" s="43"/>
      <c r="F77" s="43"/>
      <c r="G77" s="43"/>
      <c r="H77" s="44" t="s">
        <v>62</v>
      </c>
      <c r="I77" s="44" t="s">
        <v>63</v>
      </c>
      <c r="J77" s="46" t="s">
        <v>213</v>
      </c>
    </row>
    <row r="78" spans="2:10" ht="15">
      <c r="B78" s="43"/>
      <c r="C78" s="43"/>
      <c r="D78" s="43"/>
      <c r="E78" s="43"/>
      <c r="F78" s="43"/>
      <c r="G78" s="43"/>
      <c r="H78" s="49"/>
      <c r="I78" s="49"/>
      <c r="J78" s="50" t="s">
        <v>217</v>
      </c>
    </row>
    <row r="79" spans="2:10" ht="30">
      <c r="B79" s="43"/>
      <c r="C79" s="43"/>
      <c r="D79" s="43"/>
      <c r="E79" s="43"/>
      <c r="F79" s="43"/>
      <c r="G79" s="43"/>
      <c r="H79" s="44" t="s">
        <v>66</v>
      </c>
      <c r="I79" s="44" t="s">
        <v>20</v>
      </c>
      <c r="J79" s="46" t="s">
        <v>213</v>
      </c>
    </row>
    <row r="80" spans="2:10" ht="15">
      <c r="B80" s="43"/>
      <c r="C80" s="43"/>
      <c r="D80" s="43"/>
      <c r="E80" s="43"/>
      <c r="F80" s="43"/>
      <c r="G80" s="49"/>
      <c r="H80" s="49"/>
      <c r="I80" s="49"/>
      <c r="J80" s="50" t="s">
        <v>218</v>
      </c>
    </row>
    <row r="81" spans="2:10" ht="30">
      <c r="B81" s="43"/>
      <c r="C81" s="43"/>
      <c r="D81" s="43"/>
      <c r="E81" s="43"/>
      <c r="F81" s="43"/>
      <c r="G81" s="44"/>
      <c r="H81" s="44" t="s">
        <v>55</v>
      </c>
      <c r="I81" s="44" t="s">
        <v>56</v>
      </c>
      <c r="J81" s="46" t="s">
        <v>219</v>
      </c>
    </row>
    <row r="82" spans="2:10" ht="15">
      <c r="B82" s="43"/>
      <c r="C82" s="43"/>
      <c r="D82" s="43"/>
      <c r="E82" s="43"/>
      <c r="F82" s="43"/>
      <c r="G82" s="43"/>
      <c r="H82" s="49"/>
      <c r="I82" s="49"/>
      <c r="J82" s="50" t="s">
        <v>214</v>
      </c>
    </row>
    <row r="83" spans="2:10" ht="30">
      <c r="B83" s="43"/>
      <c r="C83" s="43"/>
      <c r="D83" s="43"/>
      <c r="E83" s="43"/>
      <c r="F83" s="43"/>
      <c r="G83" s="43"/>
      <c r="H83" s="44" t="s">
        <v>202</v>
      </c>
      <c r="I83" s="44" t="s">
        <v>185</v>
      </c>
      <c r="J83" s="46" t="s">
        <v>219</v>
      </c>
    </row>
    <row r="84" spans="2:10" ht="15">
      <c r="B84" s="43"/>
      <c r="C84" s="43"/>
      <c r="D84" s="43"/>
      <c r="E84" s="43"/>
      <c r="F84" s="43"/>
      <c r="G84" s="43"/>
      <c r="H84" s="49" t="s">
        <v>199</v>
      </c>
      <c r="I84" s="49"/>
      <c r="J84" s="50" t="s">
        <v>215</v>
      </c>
    </row>
    <row r="85" spans="2:10" ht="30">
      <c r="B85" s="43"/>
      <c r="C85" s="43"/>
      <c r="D85" s="43"/>
      <c r="E85" s="43"/>
      <c r="F85" s="43"/>
      <c r="G85" s="43"/>
      <c r="H85" s="44" t="s">
        <v>202</v>
      </c>
      <c r="I85" s="44" t="s">
        <v>185</v>
      </c>
      <c r="J85" s="46" t="s">
        <v>219</v>
      </c>
    </row>
    <row r="86" spans="2:10" ht="30">
      <c r="B86" s="43"/>
      <c r="C86" s="43"/>
      <c r="D86" s="43"/>
      <c r="E86" s="43"/>
      <c r="F86" s="43"/>
      <c r="G86" s="43" t="s">
        <v>2</v>
      </c>
      <c r="H86" s="49" t="s">
        <v>203</v>
      </c>
      <c r="I86" s="49"/>
      <c r="J86" s="50" t="s">
        <v>216</v>
      </c>
    </row>
    <row r="87" spans="2:10" ht="30">
      <c r="B87" s="43"/>
      <c r="C87" s="43"/>
      <c r="D87" s="43"/>
      <c r="E87" s="43"/>
      <c r="F87" s="43"/>
      <c r="G87" s="43"/>
      <c r="H87" s="44" t="s">
        <v>62</v>
      </c>
      <c r="I87" s="44" t="s">
        <v>63</v>
      </c>
      <c r="J87" s="46" t="s">
        <v>219</v>
      </c>
    </row>
    <row r="88" spans="2:10" ht="15">
      <c r="B88" s="43"/>
      <c r="C88" s="43"/>
      <c r="D88" s="43"/>
      <c r="E88" s="43"/>
      <c r="F88" s="43"/>
      <c r="G88" s="43"/>
      <c r="H88" s="49"/>
      <c r="I88" s="49"/>
      <c r="J88" s="50" t="s">
        <v>217</v>
      </c>
    </row>
    <row r="89" spans="2:10" ht="30">
      <c r="B89" s="43"/>
      <c r="C89" s="43"/>
      <c r="D89" s="43"/>
      <c r="E89" s="43"/>
      <c r="F89" s="43"/>
      <c r="G89" s="43"/>
      <c r="H89" s="44" t="s">
        <v>66</v>
      </c>
      <c r="I89" s="44" t="s">
        <v>20</v>
      </c>
      <c r="J89" s="46" t="s">
        <v>219</v>
      </c>
    </row>
    <row r="90" spans="2:10" ht="15">
      <c r="B90" s="49"/>
      <c r="C90" s="49"/>
      <c r="D90" s="49"/>
      <c r="E90" s="49"/>
      <c r="F90" s="49"/>
      <c r="G90" s="49"/>
      <c r="H90" s="49"/>
      <c r="I90" s="49"/>
      <c r="J90" s="50" t="s">
        <v>218</v>
      </c>
    </row>
    <row r="91" spans="2:10" ht="15">
      <c r="B91" s="40"/>
      <c r="C91" s="40"/>
      <c r="D91" s="40"/>
      <c r="E91" s="40"/>
      <c r="F91" s="40"/>
      <c r="G91" s="40"/>
      <c r="H91" s="40"/>
      <c r="I91" s="40"/>
      <c r="J91" s="40"/>
    </row>
    <row r="92" spans="2:10" ht="15">
      <c r="B92" s="80" t="s">
        <v>3</v>
      </c>
      <c r="C92" s="80" t="s">
        <v>4</v>
      </c>
      <c r="D92" s="80" t="s">
        <v>5</v>
      </c>
      <c r="E92" s="80" t="s">
        <v>6</v>
      </c>
      <c r="F92" s="80" t="s">
        <v>7</v>
      </c>
      <c r="G92" s="80" t="s">
        <v>189</v>
      </c>
      <c r="H92" s="80" t="s">
        <v>190</v>
      </c>
      <c r="I92" s="80" t="s">
        <v>191</v>
      </c>
      <c r="J92" s="80" t="s">
        <v>50</v>
      </c>
    </row>
    <row r="93" spans="2:10" ht="15">
      <c r="B93" s="87"/>
      <c r="C93" s="87"/>
      <c r="D93" s="87" t="s">
        <v>8</v>
      </c>
      <c r="E93" s="87"/>
      <c r="F93" s="87" t="s">
        <v>90</v>
      </c>
      <c r="G93" s="87"/>
      <c r="H93" s="87"/>
      <c r="I93" s="87"/>
      <c r="J93" s="87"/>
    </row>
    <row r="94" spans="2:10" ht="30">
      <c r="B94" s="81" t="s">
        <v>23</v>
      </c>
      <c r="C94" s="82" t="s">
        <v>220</v>
      </c>
      <c r="D94" s="82" t="s">
        <v>53</v>
      </c>
      <c r="E94" s="82" t="s">
        <v>18</v>
      </c>
      <c r="F94" s="86" t="s">
        <v>221</v>
      </c>
      <c r="G94" s="82" t="s">
        <v>1</v>
      </c>
      <c r="H94" s="82" t="s">
        <v>66</v>
      </c>
      <c r="I94" s="82" t="s">
        <v>178</v>
      </c>
      <c r="J94" s="84" t="s">
        <v>222</v>
      </c>
    </row>
    <row r="95" spans="2:10" ht="30">
      <c r="B95" s="81" t="s">
        <v>26</v>
      </c>
      <c r="C95" s="81" t="s">
        <v>223</v>
      </c>
      <c r="D95" s="81" t="s">
        <v>195</v>
      </c>
      <c r="E95" s="81"/>
      <c r="F95" s="86" t="s">
        <v>224</v>
      </c>
      <c r="G95" s="83"/>
      <c r="H95" s="83"/>
      <c r="I95" s="83" t="s">
        <v>20</v>
      </c>
      <c r="J95" s="85" t="s">
        <v>225</v>
      </c>
    </row>
    <row r="96" spans="2:10" ht="30">
      <c r="B96" s="81"/>
      <c r="C96" s="81" t="s">
        <v>33</v>
      </c>
      <c r="D96" s="81" t="s">
        <v>197</v>
      </c>
      <c r="E96" s="81"/>
      <c r="F96" s="81"/>
      <c r="G96" s="82" t="s">
        <v>2</v>
      </c>
      <c r="H96" s="82" t="s">
        <v>66</v>
      </c>
      <c r="I96" s="82" t="s">
        <v>178</v>
      </c>
      <c r="J96" s="84" t="s">
        <v>226</v>
      </c>
    </row>
    <row r="97" spans="2:10" ht="30">
      <c r="B97" s="81"/>
      <c r="C97" s="81"/>
      <c r="D97" s="81"/>
      <c r="E97" s="83"/>
      <c r="F97" s="81"/>
      <c r="G97" s="83"/>
      <c r="H97" s="83"/>
      <c r="I97" s="83" t="s">
        <v>20</v>
      </c>
      <c r="J97" s="85" t="s">
        <v>227</v>
      </c>
    </row>
    <row r="98" spans="2:10" ht="30">
      <c r="B98" s="82" t="s">
        <v>37</v>
      </c>
      <c r="C98" s="82" t="s">
        <v>228</v>
      </c>
      <c r="D98" s="82" t="s">
        <v>229</v>
      </c>
      <c r="E98" s="82" t="s">
        <v>18</v>
      </c>
      <c r="F98" s="82" t="s">
        <v>230</v>
      </c>
      <c r="G98" s="82" t="s">
        <v>54</v>
      </c>
      <c r="H98" s="82" t="s">
        <v>66</v>
      </c>
      <c r="I98" s="82" t="s">
        <v>40</v>
      </c>
      <c r="J98" s="84" t="s">
        <v>231</v>
      </c>
    </row>
    <row r="99" spans="2:10" ht="30">
      <c r="B99" s="81"/>
      <c r="C99" s="81" t="s">
        <v>232</v>
      </c>
      <c r="D99" s="81" t="s">
        <v>233</v>
      </c>
      <c r="E99" s="81"/>
      <c r="F99" s="81" t="s">
        <v>234</v>
      </c>
      <c r="G99" s="83"/>
      <c r="H99" s="83"/>
      <c r="I99" s="83"/>
      <c r="J99" s="85" t="s">
        <v>235</v>
      </c>
    </row>
    <row r="100" spans="2:10" ht="30">
      <c r="B100" s="81"/>
      <c r="C100" s="81"/>
      <c r="D100" s="81" t="s">
        <v>98</v>
      </c>
      <c r="E100" s="81"/>
      <c r="F100" s="81"/>
      <c r="G100" s="82" t="s">
        <v>2</v>
      </c>
      <c r="H100" s="82" t="s">
        <v>66</v>
      </c>
      <c r="I100" s="82" t="s">
        <v>40</v>
      </c>
      <c r="J100" s="84" t="s">
        <v>231</v>
      </c>
    </row>
    <row r="101" spans="2:10" ht="30">
      <c r="B101" s="81"/>
      <c r="C101" s="81"/>
      <c r="D101" s="83" t="s">
        <v>99</v>
      </c>
      <c r="E101" s="81"/>
      <c r="F101" s="81"/>
      <c r="G101" s="83"/>
      <c r="H101" s="83"/>
      <c r="I101" s="83"/>
      <c r="J101" s="85" t="s">
        <v>236</v>
      </c>
    </row>
    <row r="102" spans="2:10" ht="30">
      <c r="B102" s="82" t="s">
        <v>37</v>
      </c>
      <c r="C102" s="82" t="s">
        <v>228</v>
      </c>
      <c r="D102" s="82" t="s">
        <v>229</v>
      </c>
      <c r="E102" s="82" t="s">
        <v>18</v>
      </c>
      <c r="F102" s="82" t="s">
        <v>230</v>
      </c>
      <c r="G102" s="82" t="s">
        <v>54</v>
      </c>
      <c r="H102" s="82" t="s">
        <v>66</v>
      </c>
      <c r="I102" s="82" t="s">
        <v>40</v>
      </c>
      <c r="J102" s="84" t="s">
        <v>244</v>
      </c>
    </row>
    <row r="103" spans="2:10" ht="30">
      <c r="B103" s="81"/>
      <c r="C103" s="81" t="s">
        <v>232</v>
      </c>
      <c r="D103" s="81" t="s">
        <v>233</v>
      </c>
      <c r="E103" s="81"/>
      <c r="F103" s="81" t="s">
        <v>234</v>
      </c>
      <c r="G103" s="83"/>
      <c r="H103" s="83"/>
      <c r="I103" s="83"/>
      <c r="J103" s="85" t="s">
        <v>237</v>
      </c>
    </row>
    <row r="104" spans="2:10" ht="30">
      <c r="B104" s="81"/>
      <c r="C104" s="81"/>
      <c r="D104" s="81" t="s">
        <v>245</v>
      </c>
      <c r="E104" s="81"/>
      <c r="F104" s="81"/>
      <c r="G104" s="82" t="s">
        <v>2</v>
      </c>
      <c r="H104" s="82" t="s">
        <v>66</v>
      </c>
      <c r="I104" s="82" t="s">
        <v>40</v>
      </c>
      <c r="J104" s="84" t="s">
        <v>244</v>
      </c>
    </row>
    <row r="105" spans="2:10" ht="15">
      <c r="B105" s="83"/>
      <c r="C105" s="83"/>
      <c r="D105" s="83"/>
      <c r="E105" s="83"/>
      <c r="F105" s="83"/>
      <c r="G105" s="83"/>
      <c r="H105" s="83"/>
      <c r="I105" s="83"/>
      <c r="J105" s="85" t="s">
        <v>238</v>
      </c>
    </row>
    <row r="106" spans="2:10" ht="30">
      <c r="B106" s="82" t="s">
        <v>37</v>
      </c>
      <c r="C106" s="82" t="s">
        <v>177</v>
      </c>
      <c r="D106" s="82" t="s">
        <v>229</v>
      </c>
      <c r="E106" s="82" t="s">
        <v>18</v>
      </c>
      <c r="F106" s="82" t="s">
        <v>221</v>
      </c>
      <c r="G106" s="82" t="s">
        <v>54</v>
      </c>
      <c r="H106" s="82" t="s">
        <v>66</v>
      </c>
      <c r="I106" s="82" t="s">
        <v>40</v>
      </c>
      <c r="J106" s="84" t="s">
        <v>231</v>
      </c>
    </row>
    <row r="107" spans="2:10" ht="15">
      <c r="B107" s="81"/>
      <c r="C107" s="81"/>
      <c r="D107" s="81" t="s">
        <v>233</v>
      </c>
      <c r="E107" s="81"/>
      <c r="F107" s="81" t="s">
        <v>234</v>
      </c>
      <c r="G107" s="83"/>
      <c r="H107" s="83"/>
      <c r="I107" s="83"/>
      <c r="J107" s="85" t="s">
        <v>239</v>
      </c>
    </row>
    <row r="108" spans="2:10" ht="30">
      <c r="B108" s="81"/>
      <c r="C108" s="81"/>
      <c r="D108" s="81" t="s">
        <v>98</v>
      </c>
      <c r="E108" s="81"/>
      <c r="F108" s="81"/>
      <c r="G108" s="82" t="s">
        <v>2</v>
      </c>
      <c r="H108" s="82" t="s">
        <v>66</v>
      </c>
      <c r="I108" s="82" t="s">
        <v>40</v>
      </c>
      <c r="J108" s="84" t="s">
        <v>231</v>
      </c>
    </row>
    <row r="109" spans="2:10" ht="30">
      <c r="B109" s="83"/>
      <c r="C109" s="83"/>
      <c r="D109" s="83" t="s">
        <v>99</v>
      </c>
      <c r="E109" s="83"/>
      <c r="F109" s="83"/>
      <c r="G109" s="83"/>
      <c r="H109" s="83"/>
      <c r="I109" s="83"/>
      <c r="J109" s="85" t="s">
        <v>240</v>
      </c>
    </row>
    <row r="110" spans="2:10" ht="30">
      <c r="B110" s="82" t="s">
        <v>37</v>
      </c>
      <c r="C110" s="82" t="s">
        <v>177</v>
      </c>
      <c r="D110" s="82" t="s">
        <v>229</v>
      </c>
      <c r="E110" s="82" t="s">
        <v>18</v>
      </c>
      <c r="F110" s="82" t="s">
        <v>221</v>
      </c>
      <c r="G110" s="82" t="s">
        <v>54</v>
      </c>
      <c r="H110" s="82" t="s">
        <v>66</v>
      </c>
      <c r="I110" s="82" t="s">
        <v>40</v>
      </c>
      <c r="J110" s="84" t="s">
        <v>246</v>
      </c>
    </row>
    <row r="111" spans="2:10" ht="15">
      <c r="B111" s="81"/>
      <c r="C111" s="81"/>
      <c r="D111" s="81" t="s">
        <v>233</v>
      </c>
      <c r="E111" s="81"/>
      <c r="F111" s="81" t="s">
        <v>234</v>
      </c>
      <c r="G111" s="83"/>
      <c r="H111" s="83"/>
      <c r="I111" s="83"/>
      <c r="J111" s="85" t="s">
        <v>241</v>
      </c>
    </row>
    <row r="112" spans="2:10" ht="30">
      <c r="B112" s="81"/>
      <c r="C112" s="81"/>
      <c r="D112" s="81" t="s">
        <v>245</v>
      </c>
      <c r="E112" s="81"/>
      <c r="F112" s="81"/>
      <c r="G112" s="82" t="s">
        <v>2</v>
      </c>
      <c r="H112" s="82" t="s">
        <v>66</v>
      </c>
      <c r="I112" s="82" t="s">
        <v>40</v>
      </c>
      <c r="J112" s="84" t="s">
        <v>246</v>
      </c>
    </row>
    <row r="113" spans="2:10" ht="15">
      <c r="B113" s="83"/>
      <c r="C113" s="83"/>
      <c r="D113" s="83"/>
      <c r="E113" s="83"/>
      <c r="F113" s="83"/>
      <c r="G113" s="83"/>
      <c r="H113" s="83"/>
      <c r="I113" s="83"/>
      <c r="J113" s="85" t="s">
        <v>242</v>
      </c>
    </row>
  </sheetData>
  <sheetProtection/>
  <mergeCells count="2">
    <mergeCell ref="B2:J2"/>
    <mergeCell ref="B38:J38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1.421875" style="8" customWidth="1"/>
    <col min="2" max="2" width="24.00390625" style="8" customWidth="1"/>
    <col min="3" max="3" width="57.7109375" style="8" bestFit="1" customWidth="1"/>
    <col min="4" max="4" width="9.57421875" style="8" bestFit="1" customWidth="1"/>
    <col min="5" max="5" width="5.7109375" style="8" bestFit="1" customWidth="1"/>
    <col min="6" max="8" width="6.00390625" style="8" bestFit="1" customWidth="1"/>
    <col min="9" max="9" width="6.140625" style="8" bestFit="1" customWidth="1"/>
    <col min="10" max="10" width="11.421875" style="8" customWidth="1"/>
    <col min="11" max="11" width="16.140625" style="8" customWidth="1"/>
    <col min="12" max="12" width="15.421875" style="8" customWidth="1"/>
    <col min="13" max="13" width="11.421875" style="8" customWidth="1"/>
    <col min="14" max="14" width="8.8515625" style="8" customWidth="1"/>
    <col min="15" max="15" width="14.140625" style="8" bestFit="1" customWidth="1"/>
    <col min="16" max="16" width="8.57421875" style="8" bestFit="1" customWidth="1"/>
    <col min="17" max="17" width="11.421875" style="8" customWidth="1"/>
    <col min="18" max="18" width="5.57421875" style="8" bestFit="1" customWidth="1"/>
    <col min="19" max="19" width="1.57421875" style="8" bestFit="1" customWidth="1"/>
    <col min="20" max="16384" width="11.421875" style="8" customWidth="1"/>
  </cols>
  <sheetData>
    <row r="1" ht="15">
      <c r="B1" s="9" t="s">
        <v>157</v>
      </c>
    </row>
    <row r="3" spans="2:9" ht="15">
      <c r="B3" s="10" t="s">
        <v>130</v>
      </c>
      <c r="C3" s="10" t="s">
        <v>50</v>
      </c>
      <c r="D3" s="10" t="s">
        <v>131</v>
      </c>
      <c r="E3" s="11" t="s">
        <v>158</v>
      </c>
      <c r="F3" s="11" t="s">
        <v>159</v>
      </c>
      <c r="G3" s="11" t="s">
        <v>160</v>
      </c>
      <c r="H3" s="11" t="s">
        <v>161</v>
      </c>
      <c r="I3" s="11" t="s">
        <v>141</v>
      </c>
    </row>
    <row r="4" spans="2:15" ht="14.25">
      <c r="B4" s="13" t="s">
        <v>91</v>
      </c>
      <c r="C4" s="14" t="s">
        <v>162</v>
      </c>
      <c r="D4" s="13" t="s">
        <v>132</v>
      </c>
      <c r="E4" s="15">
        <v>0.28</v>
      </c>
      <c r="F4" s="15">
        <v>0.65</v>
      </c>
      <c r="G4" s="15">
        <v>0.04</v>
      </c>
      <c r="H4" s="15">
        <v>0.03</v>
      </c>
      <c r="I4" s="15">
        <f>SUM(E4:H4)</f>
        <v>1</v>
      </c>
      <c r="J4" s="16"/>
      <c r="O4" s="17"/>
    </row>
    <row r="5" spans="2:15" ht="14.25">
      <c r="B5" s="18"/>
      <c r="C5" s="19" t="s">
        <v>163</v>
      </c>
      <c r="D5" s="18"/>
      <c r="E5" s="20"/>
      <c r="F5" s="20"/>
      <c r="G5" s="20"/>
      <c r="H5" s="20"/>
      <c r="I5" s="20"/>
      <c r="J5" s="16"/>
      <c r="O5" s="17"/>
    </row>
    <row r="6" spans="2:15" ht="14.25">
      <c r="B6" s="21" t="s">
        <v>67</v>
      </c>
      <c r="C6" s="22" t="s">
        <v>164</v>
      </c>
      <c r="D6" s="21" t="s">
        <v>133</v>
      </c>
      <c r="E6" s="23">
        <v>0.24</v>
      </c>
      <c r="F6" s="23">
        <v>0.56</v>
      </c>
      <c r="G6" s="23">
        <v>0.16</v>
      </c>
      <c r="H6" s="23">
        <v>0.04</v>
      </c>
      <c r="I6" s="23">
        <f>SUM(E6:H6)</f>
        <v>1</v>
      </c>
      <c r="J6" s="16"/>
      <c r="O6" s="17"/>
    </row>
    <row r="7" spans="2:15" ht="14.25">
      <c r="B7" s="21" t="s">
        <v>37</v>
      </c>
      <c r="C7" s="22" t="s">
        <v>165</v>
      </c>
      <c r="D7" s="21" t="s">
        <v>134</v>
      </c>
      <c r="E7" s="23">
        <v>0.16</v>
      </c>
      <c r="F7" s="23">
        <v>0.84</v>
      </c>
      <c r="G7" s="23">
        <v>0</v>
      </c>
      <c r="H7" s="23">
        <v>0</v>
      </c>
      <c r="I7" s="23">
        <f>SUM(E7:H7)</f>
        <v>1</v>
      </c>
      <c r="J7" s="16"/>
      <c r="O7" s="17"/>
    </row>
    <row r="8" spans="2:26" ht="14.25">
      <c r="B8" s="21" t="s">
        <v>37</v>
      </c>
      <c r="C8" s="24" t="s">
        <v>138</v>
      </c>
      <c r="D8" s="13" t="s">
        <v>135</v>
      </c>
      <c r="E8" s="15">
        <v>0.46</v>
      </c>
      <c r="F8" s="23">
        <v>0.31</v>
      </c>
      <c r="G8" s="23">
        <v>0.23</v>
      </c>
      <c r="H8" s="23">
        <v>0</v>
      </c>
      <c r="I8" s="23">
        <f>SUM(E8:H8)</f>
        <v>1</v>
      </c>
      <c r="J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2:26" ht="14.25">
      <c r="B9" s="25" t="s">
        <v>140</v>
      </c>
      <c r="C9" s="26" t="s">
        <v>139</v>
      </c>
      <c r="D9" s="25" t="s">
        <v>136</v>
      </c>
      <c r="E9" s="23">
        <v>1</v>
      </c>
      <c r="F9" s="23">
        <v>0</v>
      </c>
      <c r="G9" s="23">
        <v>0</v>
      </c>
      <c r="H9" s="23">
        <v>0</v>
      </c>
      <c r="I9" s="23">
        <f>SUM(E9:H9)</f>
        <v>1</v>
      </c>
      <c r="J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5:26" ht="14.25"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ht="15">
      <c r="B11" s="27" t="s">
        <v>130</v>
      </c>
      <c r="C11" s="12" t="s">
        <v>50</v>
      </c>
      <c r="D11" s="28" t="s">
        <v>131</v>
      </c>
      <c r="E11" s="11" t="s">
        <v>158</v>
      </c>
      <c r="F11" s="11" t="s">
        <v>159</v>
      </c>
      <c r="G11" s="11" t="s">
        <v>160</v>
      </c>
      <c r="H11" s="11" t="s">
        <v>161</v>
      </c>
      <c r="I11" s="11" t="s">
        <v>141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14.25">
      <c r="B12" s="29" t="s">
        <v>91</v>
      </c>
      <c r="C12" s="30" t="s">
        <v>154</v>
      </c>
      <c r="D12" s="31" t="s">
        <v>137</v>
      </c>
      <c r="E12" s="15">
        <v>0.47</v>
      </c>
      <c r="F12" s="15">
        <v>0</v>
      </c>
      <c r="G12" s="15">
        <v>0.03</v>
      </c>
      <c r="H12" s="15">
        <v>0.5</v>
      </c>
      <c r="I12" s="15">
        <f>SUM(E12:H12)</f>
        <v>1</v>
      </c>
      <c r="J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17" ht="14.25">
      <c r="B13" s="32"/>
      <c r="C13" s="33" t="s">
        <v>155</v>
      </c>
      <c r="D13" s="18"/>
      <c r="E13" s="20"/>
      <c r="F13" s="20"/>
      <c r="G13" s="20"/>
      <c r="H13" s="20"/>
      <c r="I13" s="20"/>
      <c r="O13" s="17"/>
      <c r="P13" s="17"/>
      <c r="Q13" s="17"/>
    </row>
    <row r="14" spans="15:17" ht="14.25">
      <c r="O14" s="17"/>
      <c r="P14" s="17"/>
      <c r="Q14" s="17"/>
    </row>
    <row r="15" spans="15:17" ht="14.25">
      <c r="O15" s="17"/>
      <c r="P15" s="17"/>
      <c r="Q15" s="17"/>
    </row>
    <row r="16" spans="10:11" ht="14.25">
      <c r="J16" s="16"/>
      <c r="K16" s="16"/>
    </row>
    <row r="17" ht="15">
      <c r="B17" s="9" t="s">
        <v>145</v>
      </c>
    </row>
    <row r="19" spans="2:9" ht="15">
      <c r="B19" s="28" t="s">
        <v>130</v>
      </c>
      <c r="C19" s="28" t="s">
        <v>50</v>
      </c>
      <c r="D19" s="28" t="s">
        <v>142</v>
      </c>
      <c r="E19" s="11" t="s">
        <v>166</v>
      </c>
      <c r="F19" s="11" t="s">
        <v>167</v>
      </c>
      <c r="G19" s="11" t="s">
        <v>168</v>
      </c>
      <c r="H19" s="11" t="s">
        <v>169</v>
      </c>
      <c r="I19" s="11" t="s">
        <v>141</v>
      </c>
    </row>
    <row r="20" spans="2:9" ht="14.25">
      <c r="B20" s="34" t="s">
        <v>91</v>
      </c>
      <c r="C20" s="14" t="s">
        <v>162</v>
      </c>
      <c r="D20" s="34" t="s">
        <v>143</v>
      </c>
      <c r="E20" s="35">
        <v>0.9</v>
      </c>
      <c r="F20" s="35">
        <v>0.1</v>
      </c>
      <c r="G20" s="35">
        <v>0</v>
      </c>
      <c r="H20" s="35">
        <v>0</v>
      </c>
      <c r="I20" s="15">
        <f>SUM(E20:H20)</f>
        <v>1</v>
      </c>
    </row>
    <row r="21" spans="2:9" ht="14.25">
      <c r="B21" s="18"/>
      <c r="C21" s="19" t="s">
        <v>163</v>
      </c>
      <c r="D21" s="18"/>
      <c r="E21" s="20"/>
      <c r="F21" s="20"/>
      <c r="G21" s="20"/>
      <c r="H21" s="20"/>
      <c r="I21" s="20"/>
    </row>
    <row r="22" spans="2:9" ht="14.25">
      <c r="B22" s="34" t="s">
        <v>170</v>
      </c>
      <c r="C22" s="14" t="s">
        <v>171</v>
      </c>
      <c r="D22" s="34" t="s">
        <v>144</v>
      </c>
      <c r="E22" s="35">
        <v>0.89</v>
      </c>
      <c r="F22" s="35">
        <v>0.11</v>
      </c>
      <c r="G22" s="35">
        <v>0</v>
      </c>
      <c r="H22" s="35">
        <v>0</v>
      </c>
      <c r="I22" s="15">
        <f>SUM(E22:H22)</f>
        <v>1</v>
      </c>
    </row>
    <row r="23" spans="2:9" ht="14.25">
      <c r="B23" s="18"/>
      <c r="C23" s="19" t="s">
        <v>172</v>
      </c>
      <c r="D23" s="18"/>
      <c r="E23" s="20"/>
      <c r="F23" s="20"/>
      <c r="G23" s="20"/>
      <c r="H23" s="20"/>
      <c r="I23" s="20"/>
    </row>
    <row r="24" ht="14.25">
      <c r="J24" s="16"/>
    </row>
    <row r="25" ht="14.25">
      <c r="J25" s="16"/>
    </row>
    <row r="26" ht="14.25">
      <c r="J26" s="16"/>
    </row>
    <row r="27" ht="14.25">
      <c r="J27" s="16"/>
    </row>
    <row r="29" spans="2:3" ht="15">
      <c r="B29" s="28" t="s">
        <v>73</v>
      </c>
      <c r="C29" s="28" t="s">
        <v>173</v>
      </c>
    </row>
    <row r="30" spans="2:3" ht="18.75">
      <c r="B30" s="6" t="s">
        <v>146</v>
      </c>
      <c r="C30" s="7">
        <v>3.379</v>
      </c>
    </row>
    <row r="31" spans="2:3" ht="18.75">
      <c r="B31" s="6" t="s">
        <v>147</v>
      </c>
      <c r="C31" s="7">
        <v>108.870514</v>
      </c>
    </row>
    <row r="32" spans="2:3" ht="18.75">
      <c r="B32" s="6" t="s">
        <v>148</v>
      </c>
      <c r="C32" s="36">
        <v>295.83</v>
      </c>
    </row>
    <row r="33" spans="2:3" ht="18.75">
      <c r="B33" s="6" t="s">
        <v>174</v>
      </c>
      <c r="C33" s="36">
        <v>2109.92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372"/>
  <sheetViews>
    <sheetView zoomScale="80" zoomScaleNormal="80" zoomScalePageLayoutView="0" workbookViewId="0" topLeftCell="A1">
      <selection activeCell="E1" sqref="E1"/>
    </sheetView>
  </sheetViews>
  <sheetFormatPr defaultColWidth="11.421875" defaultRowHeight="12.75"/>
  <cols>
    <col min="2" max="2" width="38.7109375" style="0" customWidth="1"/>
    <col min="3" max="3" width="17.8515625" style="0" customWidth="1"/>
    <col min="4" max="4" width="26.00390625" style="0" customWidth="1"/>
    <col min="5" max="5" width="44.28125" style="0" customWidth="1"/>
    <col min="6" max="6" width="23.00390625" style="0" customWidth="1"/>
    <col min="7" max="7" width="12.57421875" style="0" customWidth="1"/>
    <col min="8" max="8" width="18.8515625" style="0" customWidth="1"/>
    <col min="10" max="10" width="12.57421875" style="0" customWidth="1"/>
    <col min="11" max="11" width="18.00390625" style="0" customWidth="1"/>
    <col min="12" max="12" width="14.140625" style="0" customWidth="1"/>
    <col min="13" max="13" width="13.7109375" style="0" customWidth="1"/>
    <col min="14" max="14" width="15.140625" style="0" customWidth="1"/>
    <col min="16" max="16" width="13.00390625" style="0" customWidth="1"/>
    <col min="20" max="20" width="25.28125" style="0" customWidth="1"/>
    <col min="21" max="21" width="19.7109375" style="0" customWidth="1"/>
    <col min="23" max="23" width="17.7109375" style="0" customWidth="1"/>
    <col min="25" max="25" width="65.7109375" style="0" customWidth="1"/>
    <col min="26" max="26" width="27.28125" style="0" customWidth="1"/>
  </cols>
  <sheetData>
    <row r="2" ht="18.75">
      <c r="B2" s="440" t="s">
        <v>460</v>
      </c>
    </row>
    <row r="5" spans="1:21" ht="15.75">
      <c r="A5" s="535"/>
      <c r="B5" s="97" t="s">
        <v>433</v>
      </c>
      <c r="C5" s="1"/>
      <c r="D5" s="98"/>
      <c r="E5" s="98"/>
      <c r="F5" s="98"/>
      <c r="G5" s="98"/>
      <c r="H5" s="98"/>
      <c r="I5" s="1"/>
      <c r="J5" s="244"/>
      <c r="K5" s="1" t="s">
        <v>302</v>
      </c>
      <c r="L5" s="1">
        <v>2.989</v>
      </c>
      <c r="M5" s="244"/>
      <c r="N5" s="244"/>
      <c r="O5" s="244"/>
      <c r="P5" s="244"/>
      <c r="Q5" s="244"/>
      <c r="R5" s="244"/>
      <c r="S5" s="244"/>
      <c r="T5" s="244"/>
      <c r="U5" s="244"/>
    </row>
    <row r="6" spans="1:21" ht="12.75">
      <c r="A6" s="535"/>
      <c r="B6" s="1"/>
      <c r="C6" s="1"/>
      <c r="D6" s="1"/>
      <c r="E6" s="1"/>
      <c r="F6" s="1"/>
      <c r="G6" s="1"/>
      <c r="H6" s="1"/>
      <c r="I6" s="1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1" ht="12.75">
      <c r="A7" s="535"/>
      <c r="B7" s="169" t="s">
        <v>6</v>
      </c>
      <c r="C7" s="164" t="s">
        <v>3</v>
      </c>
      <c r="D7" s="169" t="s">
        <v>4</v>
      </c>
      <c r="E7" s="169" t="s">
        <v>7</v>
      </c>
      <c r="F7" s="169" t="s">
        <v>49</v>
      </c>
      <c r="G7" s="169" t="s">
        <v>1</v>
      </c>
      <c r="H7" s="169" t="s">
        <v>2</v>
      </c>
      <c r="I7" s="98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</row>
    <row r="8" spans="1:21" ht="12.75">
      <c r="A8" s="535"/>
      <c r="B8" s="245"/>
      <c r="C8" s="246"/>
      <c r="D8" s="245"/>
      <c r="E8" s="245" t="s">
        <v>86</v>
      </c>
      <c r="F8" s="245" t="s">
        <v>304</v>
      </c>
      <c r="G8" s="225" t="s">
        <v>274</v>
      </c>
      <c r="H8" s="245" t="s">
        <v>275</v>
      </c>
      <c r="I8" s="1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21" ht="12.75">
      <c r="A9" s="535"/>
      <c r="B9" s="198" t="s">
        <v>11</v>
      </c>
      <c r="C9" s="231" t="s">
        <v>9</v>
      </c>
      <c r="D9" s="198" t="s">
        <v>10</v>
      </c>
      <c r="E9" s="155" t="s">
        <v>12</v>
      </c>
      <c r="F9" s="139" t="s">
        <v>63</v>
      </c>
      <c r="G9" s="197">
        <v>940</v>
      </c>
      <c r="H9" s="197">
        <v>1054</v>
      </c>
      <c r="I9" s="1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</row>
    <row r="10" spans="1:21" ht="12.75">
      <c r="A10" s="535"/>
      <c r="B10" s="148"/>
      <c r="C10" s="89"/>
      <c r="D10" s="148"/>
      <c r="E10" s="157"/>
      <c r="F10" s="139" t="s">
        <v>87</v>
      </c>
      <c r="G10" s="197">
        <v>273</v>
      </c>
      <c r="H10" s="197">
        <v>385</v>
      </c>
      <c r="I10" s="1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</row>
    <row r="11" spans="1:21" ht="12.75">
      <c r="A11" s="535"/>
      <c r="B11" s="185"/>
      <c r="C11" s="1"/>
      <c r="D11" s="185"/>
      <c r="E11" s="185"/>
      <c r="F11" s="139" t="s">
        <v>270</v>
      </c>
      <c r="G11" s="197">
        <v>314</v>
      </c>
      <c r="H11" s="250">
        <v>0</v>
      </c>
      <c r="I11" s="1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</row>
    <row r="12" spans="1:21" ht="12.75">
      <c r="A12" s="535"/>
      <c r="B12" s="148"/>
      <c r="C12" s="89"/>
      <c r="D12" s="148"/>
      <c r="E12" s="157"/>
      <c r="F12" s="139" t="s">
        <v>88</v>
      </c>
      <c r="G12" s="197">
        <v>279</v>
      </c>
      <c r="H12" s="197">
        <v>393</v>
      </c>
      <c r="I12" s="1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</row>
    <row r="13" spans="1:21" ht="12.75">
      <c r="A13" s="535"/>
      <c r="B13" s="185"/>
      <c r="C13" s="1"/>
      <c r="D13" s="185"/>
      <c r="E13" s="185"/>
      <c r="F13" s="139" t="s">
        <v>271</v>
      </c>
      <c r="G13" s="197">
        <v>320</v>
      </c>
      <c r="H13" s="250">
        <v>0</v>
      </c>
      <c r="I13" s="1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</row>
    <row r="14" spans="1:21" ht="12.75">
      <c r="A14" s="535"/>
      <c r="B14" s="148"/>
      <c r="C14" s="89"/>
      <c r="D14" s="170"/>
      <c r="E14" s="251"/>
      <c r="F14" s="139" t="s">
        <v>56</v>
      </c>
      <c r="G14" s="197">
        <v>202</v>
      </c>
      <c r="H14" s="197">
        <v>327</v>
      </c>
      <c r="I14" s="1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</row>
    <row r="15" spans="1:21" ht="12.75">
      <c r="A15" s="535"/>
      <c r="B15" s="148"/>
      <c r="C15" s="89"/>
      <c r="D15" s="198" t="s">
        <v>14</v>
      </c>
      <c r="E15" s="155" t="s">
        <v>15</v>
      </c>
      <c r="F15" s="139" t="s">
        <v>63</v>
      </c>
      <c r="G15" s="197">
        <v>965</v>
      </c>
      <c r="H15" s="197">
        <v>1060</v>
      </c>
      <c r="I15" s="1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</row>
    <row r="16" spans="1:21" ht="12.75">
      <c r="A16" s="535"/>
      <c r="B16" s="148"/>
      <c r="C16" s="89"/>
      <c r="D16" s="148"/>
      <c r="E16" s="157"/>
      <c r="F16" s="139" t="s">
        <v>87</v>
      </c>
      <c r="G16" s="197">
        <v>299</v>
      </c>
      <c r="H16" s="197">
        <v>393</v>
      </c>
      <c r="I16" s="1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</row>
    <row r="17" spans="1:21" ht="12.75">
      <c r="A17" s="535"/>
      <c r="B17" s="148"/>
      <c r="C17" s="89"/>
      <c r="D17" s="148"/>
      <c r="E17" s="157"/>
      <c r="F17" s="139" t="s">
        <v>88</v>
      </c>
      <c r="G17" s="197">
        <v>304</v>
      </c>
      <c r="H17" s="197">
        <v>399</v>
      </c>
      <c r="I17" s="1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</row>
    <row r="18" spans="1:21" ht="12.75">
      <c r="A18" s="535"/>
      <c r="B18" s="148"/>
      <c r="C18" s="89"/>
      <c r="D18" s="148"/>
      <c r="E18" s="157"/>
      <c r="F18" s="202" t="s">
        <v>56</v>
      </c>
      <c r="G18" s="197">
        <v>227</v>
      </c>
      <c r="H18" s="197">
        <v>332</v>
      </c>
      <c r="I18" s="1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</row>
    <row r="19" spans="1:21" ht="12.75">
      <c r="A19" s="535"/>
      <c r="B19" s="198" t="s">
        <v>18</v>
      </c>
      <c r="C19" s="231" t="s">
        <v>16</v>
      </c>
      <c r="D19" s="198" t="s">
        <v>17</v>
      </c>
      <c r="E19" s="155" t="s">
        <v>19</v>
      </c>
      <c r="F19" s="139" t="s">
        <v>63</v>
      </c>
      <c r="G19" s="197">
        <v>1789</v>
      </c>
      <c r="H19" s="197">
        <v>1900</v>
      </c>
      <c r="I19" s="1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0" spans="1:21" ht="12.75">
      <c r="A20" s="535"/>
      <c r="B20" s="148"/>
      <c r="C20" s="89"/>
      <c r="D20" s="148"/>
      <c r="E20" s="157"/>
      <c r="F20" s="139" t="s">
        <v>60</v>
      </c>
      <c r="G20" s="197">
        <v>517</v>
      </c>
      <c r="H20" s="197">
        <v>629</v>
      </c>
      <c r="I20" s="1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</row>
    <row r="21" spans="1:21" ht="12.75">
      <c r="A21" s="535"/>
      <c r="B21" s="148"/>
      <c r="C21" s="89"/>
      <c r="D21" s="148"/>
      <c r="E21" s="157"/>
      <c r="F21" s="139" t="s">
        <v>56</v>
      </c>
      <c r="G21" s="197">
        <v>353</v>
      </c>
      <c r="H21" s="197">
        <v>428</v>
      </c>
      <c r="I21" s="1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</row>
    <row r="22" spans="1:21" ht="12.75">
      <c r="A22" s="535"/>
      <c r="B22" s="148"/>
      <c r="C22" s="89"/>
      <c r="D22" s="148"/>
      <c r="E22" s="157"/>
      <c r="F22" s="139" t="s">
        <v>272</v>
      </c>
      <c r="G22" s="197">
        <v>2244</v>
      </c>
      <c r="H22" s="197">
        <v>2319</v>
      </c>
      <c r="I22" s="1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1" ht="12.75">
      <c r="A23" s="535"/>
      <c r="B23" s="148"/>
      <c r="C23" s="89"/>
      <c r="D23" s="252" t="s">
        <v>21</v>
      </c>
      <c r="E23" s="253" t="s">
        <v>22</v>
      </c>
      <c r="F23" s="139" t="s">
        <v>63</v>
      </c>
      <c r="G23" s="197">
        <v>1815</v>
      </c>
      <c r="H23" s="197">
        <v>1909</v>
      </c>
      <c r="I23" s="1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</row>
    <row r="24" spans="1:21" ht="12.75">
      <c r="A24" s="535"/>
      <c r="B24" s="148"/>
      <c r="C24" s="89"/>
      <c r="D24" s="148"/>
      <c r="E24" s="157"/>
      <c r="F24" s="139" t="s">
        <v>60</v>
      </c>
      <c r="G24" s="197">
        <v>543</v>
      </c>
      <c r="H24" s="197">
        <v>637</v>
      </c>
      <c r="I24" s="1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 ht="12.75">
      <c r="A25" s="535"/>
      <c r="B25" s="148"/>
      <c r="C25" s="89"/>
      <c r="D25" s="148"/>
      <c r="E25" s="157"/>
      <c r="F25" s="139" t="s">
        <v>56</v>
      </c>
      <c r="G25" s="197">
        <v>379</v>
      </c>
      <c r="H25" s="197">
        <v>437</v>
      </c>
      <c r="I25" s="1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ht="12.75">
      <c r="A26" s="535"/>
      <c r="B26" s="148"/>
      <c r="C26" s="89"/>
      <c r="D26" s="148"/>
      <c r="E26" s="157"/>
      <c r="F26" s="139" t="s">
        <v>272</v>
      </c>
      <c r="G26" s="197">
        <v>2387</v>
      </c>
      <c r="H26" s="197">
        <v>2445</v>
      </c>
      <c r="I26" s="1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ht="12.75">
      <c r="A27" s="535"/>
      <c r="B27" s="148"/>
      <c r="C27" s="231" t="s">
        <v>23</v>
      </c>
      <c r="D27" s="198" t="s">
        <v>24</v>
      </c>
      <c r="E27" s="155" t="s">
        <v>25</v>
      </c>
      <c r="F27" s="3" t="s">
        <v>273</v>
      </c>
      <c r="G27" s="197">
        <v>2904</v>
      </c>
      <c r="H27" s="197">
        <v>3152</v>
      </c>
      <c r="I27" s="1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</row>
    <row r="28" spans="1:21" ht="12.75">
      <c r="A28" s="535"/>
      <c r="B28" s="148"/>
      <c r="C28" s="231" t="s">
        <v>26</v>
      </c>
      <c r="D28" s="198" t="s">
        <v>27</v>
      </c>
      <c r="E28" s="155" t="s">
        <v>28</v>
      </c>
      <c r="F28" s="139" t="s">
        <v>272</v>
      </c>
      <c r="G28" s="197">
        <v>3106</v>
      </c>
      <c r="H28" s="197">
        <v>3775</v>
      </c>
      <c r="I28" s="1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</row>
    <row r="29" spans="1:21" ht="12.75">
      <c r="A29" s="535"/>
      <c r="B29" s="148"/>
      <c r="C29" s="89"/>
      <c r="D29" s="252" t="s">
        <v>29</v>
      </c>
      <c r="E29" s="253" t="s">
        <v>30</v>
      </c>
      <c r="F29" s="139" t="s">
        <v>272</v>
      </c>
      <c r="G29" s="250">
        <v>0</v>
      </c>
      <c r="H29" s="197">
        <v>5292</v>
      </c>
      <c r="I29" s="1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  <row r="30" spans="1:21" ht="12.75">
      <c r="A30" s="535"/>
      <c r="B30" s="148"/>
      <c r="C30" s="89"/>
      <c r="D30" s="252" t="s">
        <v>31</v>
      </c>
      <c r="E30" s="253" t="s">
        <v>32</v>
      </c>
      <c r="F30" s="139" t="s">
        <v>272</v>
      </c>
      <c r="G30" s="250">
        <v>0</v>
      </c>
      <c r="H30" s="197">
        <v>6975</v>
      </c>
      <c r="I30" s="1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</row>
    <row r="31" spans="1:21" ht="12.75">
      <c r="A31" s="535"/>
      <c r="B31" s="170"/>
      <c r="C31" s="247"/>
      <c r="D31" s="254" t="s">
        <v>33</v>
      </c>
      <c r="E31" s="255" t="s">
        <v>34</v>
      </c>
      <c r="F31" s="139" t="s">
        <v>272</v>
      </c>
      <c r="G31" s="250">
        <v>0</v>
      </c>
      <c r="H31" s="197">
        <v>7645</v>
      </c>
      <c r="I31" s="1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</row>
    <row r="32" spans="1:21" ht="12.75">
      <c r="A32" s="535"/>
      <c r="B32" s="1" t="s">
        <v>432</v>
      </c>
      <c r="C32" s="1"/>
      <c r="D32" s="1"/>
      <c r="E32" s="1"/>
      <c r="F32" s="1"/>
      <c r="G32" s="1"/>
      <c r="H32" s="98"/>
      <c r="I32" s="1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</row>
    <row r="33" spans="1:21" ht="12.75">
      <c r="A33" s="535"/>
      <c r="B33" s="1" t="s">
        <v>277</v>
      </c>
      <c r="C33" s="1"/>
      <c r="D33" s="1"/>
      <c r="E33" s="1"/>
      <c r="F33" s="1"/>
      <c r="G33" s="1"/>
      <c r="H33" s="98"/>
      <c r="I33" s="1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</row>
    <row r="34" spans="1:21" ht="12.75">
      <c r="A34" s="535"/>
      <c r="B34" s="1" t="s">
        <v>278</v>
      </c>
      <c r="C34" s="1"/>
      <c r="D34" s="1"/>
      <c r="E34" s="1"/>
      <c r="F34" s="1"/>
      <c r="G34" s="1"/>
      <c r="H34" s="98"/>
      <c r="I34" s="1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</row>
    <row r="35" spans="2:21" ht="12.75">
      <c r="B35" s="1"/>
      <c r="C35" s="1"/>
      <c r="D35" s="1"/>
      <c r="E35" s="1"/>
      <c r="F35" s="1"/>
      <c r="G35" s="1"/>
      <c r="H35" s="98"/>
      <c r="I35" s="1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</row>
    <row r="36" spans="1:21" ht="15.75">
      <c r="A36" s="535"/>
      <c r="B36" s="97" t="s">
        <v>434</v>
      </c>
      <c r="C36" s="1"/>
      <c r="D36" s="98"/>
      <c r="E36" s="98"/>
      <c r="F36" s="98"/>
      <c r="G36" s="98"/>
      <c r="H36" s="98"/>
      <c r="I36" s="1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</row>
    <row r="37" spans="1:21" ht="12.75">
      <c r="A37" s="535"/>
      <c r="B37" s="1"/>
      <c r="C37" s="1"/>
      <c r="D37" s="1"/>
      <c r="E37" s="1"/>
      <c r="F37" s="98"/>
      <c r="G37" s="98"/>
      <c r="H37" s="98"/>
      <c r="I37" s="1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</row>
    <row r="38" spans="1:21" ht="12.75">
      <c r="A38" s="535"/>
      <c r="B38" s="98"/>
      <c r="C38" s="98"/>
      <c r="D38" s="98"/>
      <c r="E38" s="98"/>
      <c r="F38" s="98"/>
      <c r="G38" s="98"/>
      <c r="H38" s="98"/>
      <c r="I38" s="1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</row>
    <row r="39" spans="1:21" ht="12.75">
      <c r="A39" s="535"/>
      <c r="B39" s="169" t="s">
        <v>6</v>
      </c>
      <c r="C39" s="169" t="s">
        <v>3</v>
      </c>
      <c r="D39" s="169" t="s">
        <v>4</v>
      </c>
      <c r="E39" s="169" t="s">
        <v>7</v>
      </c>
      <c r="F39" s="169" t="s">
        <v>49</v>
      </c>
      <c r="G39" s="169" t="s">
        <v>89</v>
      </c>
      <c r="H39" s="169" t="s">
        <v>305</v>
      </c>
      <c r="I39" s="1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</row>
    <row r="40" spans="1:21" ht="12.75">
      <c r="A40" s="535"/>
      <c r="B40" s="201"/>
      <c r="C40" s="201"/>
      <c r="D40" s="201"/>
      <c r="E40" s="201" t="s">
        <v>86</v>
      </c>
      <c r="F40" s="201" t="s">
        <v>304</v>
      </c>
      <c r="G40" s="201"/>
      <c r="H40" s="228" t="s">
        <v>280</v>
      </c>
      <c r="I40" s="1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</row>
    <row r="41" spans="1:21" ht="12.75">
      <c r="A41" s="535"/>
      <c r="B41" s="198" t="s">
        <v>11</v>
      </c>
      <c r="C41" s="198" t="s">
        <v>9</v>
      </c>
      <c r="D41" s="198" t="s">
        <v>10</v>
      </c>
      <c r="E41" s="155" t="s">
        <v>12</v>
      </c>
      <c r="F41" s="141" t="s">
        <v>87</v>
      </c>
      <c r="G41" s="131">
        <v>159</v>
      </c>
      <c r="H41" s="131">
        <v>70</v>
      </c>
      <c r="I41" s="1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</row>
    <row r="42" spans="1:21" ht="12.75">
      <c r="A42" s="535"/>
      <c r="B42" s="185"/>
      <c r="C42" s="185"/>
      <c r="D42" s="256"/>
      <c r="E42" s="256"/>
      <c r="F42" s="141" t="s">
        <v>88</v>
      </c>
      <c r="G42" s="131">
        <v>164</v>
      </c>
      <c r="H42" s="257">
        <v>70</v>
      </c>
      <c r="I42" s="1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</row>
    <row r="43" spans="1:21" ht="12.75">
      <c r="A43" s="535"/>
      <c r="B43" s="148"/>
      <c r="C43" s="148"/>
      <c r="D43" s="198" t="s">
        <v>14</v>
      </c>
      <c r="E43" s="155" t="s">
        <v>15</v>
      </c>
      <c r="F43" s="141" t="s">
        <v>87</v>
      </c>
      <c r="G43" s="131">
        <v>173</v>
      </c>
      <c r="H43" s="131">
        <v>124</v>
      </c>
      <c r="I43" s="1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</row>
    <row r="44" spans="1:21" ht="12.75">
      <c r="A44" s="535"/>
      <c r="B44" s="256"/>
      <c r="C44" s="256"/>
      <c r="D44" s="256"/>
      <c r="E44" s="154"/>
      <c r="F44" s="141" t="s">
        <v>88</v>
      </c>
      <c r="G44" s="131">
        <v>179</v>
      </c>
      <c r="H44" s="257">
        <v>124</v>
      </c>
      <c r="I44" s="1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</row>
    <row r="45" spans="1:21" ht="12.75">
      <c r="A45" s="535"/>
      <c r="B45" s="198" t="s">
        <v>18</v>
      </c>
      <c r="C45" s="198" t="s">
        <v>16</v>
      </c>
      <c r="D45" s="156" t="s">
        <v>17</v>
      </c>
      <c r="E45" s="144" t="s">
        <v>19</v>
      </c>
      <c r="F45" s="156" t="s">
        <v>60</v>
      </c>
      <c r="G45" s="131">
        <v>332</v>
      </c>
      <c r="H45" s="131">
        <v>125</v>
      </c>
      <c r="I45" s="1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</row>
    <row r="46" spans="1:21" ht="12.75">
      <c r="A46" s="535"/>
      <c r="B46" s="170"/>
      <c r="C46" s="170"/>
      <c r="D46" s="156" t="s">
        <v>21</v>
      </c>
      <c r="E46" s="93" t="s">
        <v>22</v>
      </c>
      <c r="F46" s="156" t="s">
        <v>60</v>
      </c>
      <c r="G46" s="131">
        <v>354</v>
      </c>
      <c r="H46" s="131">
        <v>256</v>
      </c>
      <c r="I46" s="1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</row>
    <row r="47" spans="1:21" ht="12.75">
      <c r="A47" s="535"/>
      <c r="B47" s="1" t="s">
        <v>281</v>
      </c>
      <c r="C47" s="1"/>
      <c r="D47" s="1"/>
      <c r="E47" s="1"/>
      <c r="F47" s="1"/>
      <c r="G47" s="1"/>
      <c r="H47" s="1"/>
      <c r="I47" s="1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</row>
    <row r="48" spans="2:21" ht="12.75">
      <c r="B48" s="1"/>
      <c r="C48" s="1"/>
      <c r="D48" s="1"/>
      <c r="E48" s="1"/>
      <c r="F48" s="1"/>
      <c r="G48" s="1"/>
      <c r="H48" s="1"/>
      <c r="I48" s="1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</row>
    <row r="49" spans="2:21" ht="12.75">
      <c r="B49" s="1"/>
      <c r="C49" s="1"/>
      <c r="D49" s="1"/>
      <c r="E49" s="1"/>
      <c r="F49" s="1"/>
      <c r="G49" s="1"/>
      <c r="H49" s="1"/>
      <c r="I49" s="1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</row>
    <row r="50" spans="1:21" ht="15.75">
      <c r="A50" s="535"/>
      <c r="B50" s="97" t="s">
        <v>435</v>
      </c>
      <c r="C50" s="1"/>
      <c r="D50" s="1"/>
      <c r="E50" s="1"/>
      <c r="F50" s="1"/>
      <c r="G50" s="1"/>
      <c r="H50" s="1"/>
      <c r="I50" s="1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</row>
    <row r="51" spans="1:21" ht="12.75">
      <c r="A51" s="535"/>
      <c r="B51" s="1"/>
      <c r="C51" s="1"/>
      <c r="D51" s="98"/>
      <c r="E51" s="98"/>
      <c r="F51" s="98"/>
      <c r="G51" s="98"/>
      <c r="H51" s="98"/>
      <c r="I51" s="1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</row>
    <row r="52" spans="1:21" ht="12.75">
      <c r="A52" s="535"/>
      <c r="B52" s="169" t="s">
        <v>6</v>
      </c>
      <c r="C52" s="164" t="s">
        <v>3</v>
      </c>
      <c r="D52" s="169" t="s">
        <v>4</v>
      </c>
      <c r="E52" s="169" t="s">
        <v>7</v>
      </c>
      <c r="F52" s="169" t="s">
        <v>49</v>
      </c>
      <c r="G52" s="169" t="s">
        <v>1</v>
      </c>
      <c r="H52" s="169" t="s">
        <v>2</v>
      </c>
      <c r="I52" s="1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</row>
    <row r="53" spans="1:21" ht="12.75">
      <c r="A53" s="535"/>
      <c r="B53" s="245"/>
      <c r="C53" s="246"/>
      <c r="D53" s="245"/>
      <c r="E53" s="245" t="s">
        <v>86</v>
      </c>
      <c r="F53" s="245" t="s">
        <v>304</v>
      </c>
      <c r="G53" s="225" t="s">
        <v>280</v>
      </c>
      <c r="H53" s="245" t="s">
        <v>285</v>
      </c>
      <c r="I53" s="1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</row>
    <row r="54" spans="1:21" ht="12.75">
      <c r="A54" s="535"/>
      <c r="B54" s="198" t="s">
        <v>18</v>
      </c>
      <c r="C54" s="231" t="s">
        <v>16</v>
      </c>
      <c r="D54" s="198" t="s">
        <v>17</v>
      </c>
      <c r="E54" s="155" t="s">
        <v>19</v>
      </c>
      <c r="F54" s="139" t="s">
        <v>63</v>
      </c>
      <c r="G54" s="197">
        <v>1830</v>
      </c>
      <c r="H54" s="197">
        <v>1981</v>
      </c>
      <c r="I54" s="1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</row>
    <row r="55" spans="1:21" ht="12.75">
      <c r="A55" s="535"/>
      <c r="B55" s="148"/>
      <c r="C55" s="89"/>
      <c r="D55" s="148"/>
      <c r="E55" s="157"/>
      <c r="F55" s="139" t="s">
        <v>60</v>
      </c>
      <c r="G55" s="197">
        <v>522</v>
      </c>
      <c r="H55" s="197">
        <v>674</v>
      </c>
      <c r="I55" s="1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</row>
    <row r="56" spans="1:21" ht="12.75">
      <c r="A56" s="535"/>
      <c r="B56" s="148"/>
      <c r="C56" s="89"/>
      <c r="D56" s="148"/>
      <c r="E56" s="157"/>
      <c r="F56" s="139" t="s">
        <v>56</v>
      </c>
      <c r="G56" s="197">
        <v>359</v>
      </c>
      <c r="H56" s="197">
        <v>470</v>
      </c>
      <c r="I56" s="1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</row>
    <row r="57" spans="1:21" ht="12.75">
      <c r="A57" s="535"/>
      <c r="B57" s="148"/>
      <c r="C57" s="89"/>
      <c r="D57" s="148"/>
      <c r="E57" s="157"/>
      <c r="F57" s="139" t="s">
        <v>272</v>
      </c>
      <c r="G57" s="197">
        <v>2243</v>
      </c>
      <c r="H57" s="197">
        <v>2354</v>
      </c>
      <c r="I57" s="1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</row>
    <row r="58" spans="1:21" ht="12.75">
      <c r="A58" s="535"/>
      <c r="B58" s="148"/>
      <c r="C58" s="89"/>
      <c r="D58" s="252" t="s">
        <v>21</v>
      </c>
      <c r="E58" s="253" t="s">
        <v>22</v>
      </c>
      <c r="F58" s="139" t="s">
        <v>63</v>
      </c>
      <c r="G58" s="197">
        <v>1833</v>
      </c>
      <c r="H58" s="197">
        <v>1985</v>
      </c>
      <c r="I58" s="1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</row>
    <row r="59" spans="1:21" ht="12.75">
      <c r="A59" s="535"/>
      <c r="B59" s="148"/>
      <c r="C59" s="89"/>
      <c r="D59" s="148"/>
      <c r="E59" s="157"/>
      <c r="F59" s="139" t="s">
        <v>60</v>
      </c>
      <c r="G59" s="197">
        <v>525</v>
      </c>
      <c r="H59" s="197">
        <v>677</v>
      </c>
      <c r="I59" s="1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</row>
    <row r="60" spans="1:21" ht="12.75">
      <c r="A60" s="535"/>
      <c r="B60" s="148"/>
      <c r="C60" s="89"/>
      <c r="D60" s="148"/>
      <c r="E60" s="157"/>
      <c r="F60" s="139" t="s">
        <v>56</v>
      </c>
      <c r="G60" s="197">
        <v>362</v>
      </c>
      <c r="H60" s="197">
        <v>473</v>
      </c>
      <c r="I60" s="1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</row>
    <row r="61" spans="1:21" ht="12.75">
      <c r="A61" s="535"/>
      <c r="B61" s="148"/>
      <c r="C61" s="89"/>
      <c r="D61" s="148"/>
      <c r="E61" s="157"/>
      <c r="F61" s="139" t="s">
        <v>272</v>
      </c>
      <c r="G61" s="197">
        <v>2246</v>
      </c>
      <c r="H61" s="197">
        <v>2358</v>
      </c>
      <c r="I61" s="1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</row>
    <row r="62" spans="1:21" ht="12.75">
      <c r="A62" s="535"/>
      <c r="B62" s="148"/>
      <c r="C62" s="231" t="s">
        <v>23</v>
      </c>
      <c r="D62" s="198" t="s">
        <v>24</v>
      </c>
      <c r="E62" s="155" t="s">
        <v>25</v>
      </c>
      <c r="F62" s="3" t="s">
        <v>273</v>
      </c>
      <c r="G62" s="197">
        <v>2742</v>
      </c>
      <c r="H62" s="197">
        <v>3014</v>
      </c>
      <c r="I62" s="1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</row>
    <row r="63" spans="1:21" ht="12.75">
      <c r="A63" s="535"/>
      <c r="B63" s="148"/>
      <c r="C63" s="231" t="s">
        <v>26</v>
      </c>
      <c r="D63" s="198" t="s">
        <v>27</v>
      </c>
      <c r="E63" s="155" t="s">
        <v>28</v>
      </c>
      <c r="F63" s="139" t="s">
        <v>272</v>
      </c>
      <c r="G63" s="197">
        <v>2938</v>
      </c>
      <c r="H63" s="197">
        <v>3312</v>
      </c>
      <c r="I63" s="1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</row>
    <row r="64" spans="1:21" ht="12.75">
      <c r="A64" s="535"/>
      <c r="B64" s="148"/>
      <c r="C64" s="89"/>
      <c r="D64" s="252" t="s">
        <v>29</v>
      </c>
      <c r="E64" s="253" t="s">
        <v>30</v>
      </c>
      <c r="F64" s="139" t="s">
        <v>272</v>
      </c>
      <c r="G64" s="250">
        <v>0</v>
      </c>
      <c r="H64" s="197">
        <v>4271</v>
      </c>
      <c r="I64" s="1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</row>
    <row r="65" spans="1:21" ht="12.75">
      <c r="A65" s="535"/>
      <c r="B65" s="148"/>
      <c r="C65" s="89"/>
      <c r="D65" s="252" t="s">
        <v>31</v>
      </c>
      <c r="E65" s="253" t="s">
        <v>32</v>
      </c>
      <c r="F65" s="139" t="s">
        <v>272</v>
      </c>
      <c r="G65" s="250">
        <v>0</v>
      </c>
      <c r="H65" s="197">
        <v>5977</v>
      </c>
      <c r="I65" s="1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</row>
    <row r="66" spans="1:21" ht="12.75">
      <c r="A66" s="535"/>
      <c r="B66" s="170"/>
      <c r="C66" s="247"/>
      <c r="D66" s="254" t="s">
        <v>33</v>
      </c>
      <c r="E66" s="255" t="s">
        <v>34</v>
      </c>
      <c r="F66" s="139" t="s">
        <v>272</v>
      </c>
      <c r="G66" s="250">
        <v>0</v>
      </c>
      <c r="H66" s="197">
        <v>6550</v>
      </c>
      <c r="I66" s="1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</row>
    <row r="67" spans="1:21" ht="12.75">
      <c r="A67" s="535"/>
      <c r="B67" s="1" t="s">
        <v>283</v>
      </c>
      <c r="C67" s="1"/>
      <c r="D67" s="1"/>
      <c r="E67" s="1"/>
      <c r="F67" s="1"/>
      <c r="G67" s="1"/>
      <c r="H67" s="1"/>
      <c r="I67" s="1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</row>
    <row r="68" spans="1:21" ht="12.75">
      <c r="A68" s="535"/>
      <c r="B68" s="1" t="s">
        <v>284</v>
      </c>
      <c r="C68" s="1"/>
      <c r="D68" s="1"/>
      <c r="E68" s="1"/>
      <c r="F68" s="1"/>
      <c r="G68" s="1"/>
      <c r="H68" s="1"/>
      <c r="I68" s="1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</row>
    <row r="69" spans="2:21" ht="12.75">
      <c r="B69" s="1"/>
      <c r="C69" s="1"/>
      <c r="D69" s="1"/>
      <c r="E69" s="1"/>
      <c r="F69" s="1"/>
      <c r="G69" s="1"/>
      <c r="H69" s="1"/>
      <c r="I69" s="1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</row>
    <row r="70" spans="2:21" ht="12.75">
      <c r="B70" s="1"/>
      <c r="C70" s="1"/>
      <c r="D70" s="1"/>
      <c r="E70" s="1"/>
      <c r="F70" s="98"/>
      <c r="G70" s="98"/>
      <c r="H70" s="98"/>
      <c r="I70" s="1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</row>
    <row r="71" spans="1:21" ht="15.75">
      <c r="A71" s="535"/>
      <c r="B71" s="97" t="s">
        <v>436</v>
      </c>
      <c r="C71" s="1"/>
      <c r="D71" s="98"/>
      <c r="E71" s="98"/>
      <c r="F71" s="98"/>
      <c r="G71" s="98"/>
      <c r="H71" s="98"/>
      <c r="I71" s="1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</row>
    <row r="72" spans="1:21" ht="12.75">
      <c r="A72" s="535"/>
      <c r="B72" s="1"/>
      <c r="C72" s="1"/>
      <c r="D72" s="1"/>
      <c r="E72" s="1"/>
      <c r="F72" s="1"/>
      <c r="G72" s="1"/>
      <c r="H72" s="1"/>
      <c r="I72" s="1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</row>
    <row r="73" spans="1:21" ht="12.75">
      <c r="A73" s="535"/>
      <c r="B73" s="169" t="s">
        <v>6</v>
      </c>
      <c r="C73" s="169" t="s">
        <v>3</v>
      </c>
      <c r="D73" s="169" t="s">
        <v>4</v>
      </c>
      <c r="E73" s="169" t="s">
        <v>7</v>
      </c>
      <c r="F73" s="169" t="s">
        <v>49</v>
      </c>
      <c r="G73" s="169" t="s">
        <v>89</v>
      </c>
      <c r="H73" s="169" t="s">
        <v>305</v>
      </c>
      <c r="I73" s="1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</row>
    <row r="74" spans="1:21" ht="12.75">
      <c r="A74" s="535"/>
      <c r="B74" s="201"/>
      <c r="C74" s="201"/>
      <c r="D74" s="201"/>
      <c r="E74" s="201" t="s">
        <v>86</v>
      </c>
      <c r="F74" s="201" t="s">
        <v>304</v>
      </c>
      <c r="G74" s="201"/>
      <c r="H74" s="228" t="s">
        <v>280</v>
      </c>
      <c r="I74" s="1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</row>
    <row r="75" spans="1:21" ht="12.75">
      <c r="A75" s="535"/>
      <c r="B75" s="198" t="s">
        <v>18</v>
      </c>
      <c r="C75" s="198" t="s">
        <v>16</v>
      </c>
      <c r="D75" s="156" t="s">
        <v>17</v>
      </c>
      <c r="E75" s="144" t="s">
        <v>19</v>
      </c>
      <c r="F75" s="156" t="s">
        <v>60</v>
      </c>
      <c r="G75" s="131">
        <v>330</v>
      </c>
      <c r="H75" s="131">
        <v>104</v>
      </c>
      <c r="I75" s="1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</row>
    <row r="76" spans="1:21" ht="12.75">
      <c r="A76" s="535"/>
      <c r="B76" s="170"/>
      <c r="C76" s="170"/>
      <c r="D76" s="156" t="s">
        <v>21</v>
      </c>
      <c r="E76" s="93" t="s">
        <v>22</v>
      </c>
      <c r="F76" s="156" t="s">
        <v>60</v>
      </c>
      <c r="G76" s="131">
        <v>333</v>
      </c>
      <c r="H76" s="131">
        <v>231</v>
      </c>
      <c r="I76" s="1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</row>
    <row r="77" spans="1:21" ht="12.75">
      <c r="A77" s="535"/>
      <c r="B77" s="1" t="s">
        <v>281</v>
      </c>
      <c r="C77" s="1"/>
      <c r="D77" s="1"/>
      <c r="E77" s="1"/>
      <c r="F77" s="1"/>
      <c r="G77" s="1"/>
      <c r="H77" s="1"/>
      <c r="I77" s="1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</row>
    <row r="78" spans="2:21" ht="12.75">
      <c r="B78" s="244"/>
      <c r="C78" s="244"/>
      <c r="D78" s="244"/>
      <c r="E78" s="244"/>
      <c r="F78" s="244"/>
      <c r="G78" s="244"/>
      <c r="H78" s="244"/>
      <c r="I78" s="1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</row>
    <row r="79" spans="2:21" ht="12.75">
      <c r="B79" s="244"/>
      <c r="C79" s="244"/>
      <c r="D79" s="244"/>
      <c r="E79" s="244"/>
      <c r="F79" s="244"/>
      <c r="G79" s="244"/>
      <c r="H79" s="244"/>
      <c r="I79" s="1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</row>
    <row r="80" spans="1:21" ht="15.75">
      <c r="A80" s="535"/>
      <c r="B80" s="97" t="s">
        <v>437</v>
      </c>
      <c r="C80" s="88"/>
      <c r="D80" s="88"/>
      <c r="E80" s="88"/>
      <c r="F80" s="88"/>
      <c r="G80" s="88"/>
      <c r="H80" s="88"/>
      <c r="I80" s="1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</row>
    <row r="81" spans="1:21" ht="12.75">
      <c r="A81" s="535"/>
      <c r="B81" s="88"/>
      <c r="C81" s="88"/>
      <c r="D81" s="98"/>
      <c r="E81" s="98"/>
      <c r="F81" s="98"/>
      <c r="G81" s="98"/>
      <c r="H81" s="98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</row>
    <row r="82" spans="1:21" ht="12.75">
      <c r="A82" s="535"/>
      <c r="B82" s="169" t="s">
        <v>6</v>
      </c>
      <c r="C82" s="169" t="s">
        <v>3</v>
      </c>
      <c r="D82" s="168" t="s">
        <v>4</v>
      </c>
      <c r="E82" s="169" t="s">
        <v>7</v>
      </c>
      <c r="F82" s="169" t="s">
        <v>49</v>
      </c>
      <c r="G82" s="168" t="s">
        <v>1</v>
      </c>
      <c r="H82" s="169" t="s">
        <v>2</v>
      </c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</row>
    <row r="83" spans="1:21" ht="12.75">
      <c r="A83" s="535"/>
      <c r="B83" s="201"/>
      <c r="C83" s="201"/>
      <c r="D83" s="91"/>
      <c r="E83" s="201" t="s">
        <v>86</v>
      </c>
      <c r="F83" s="201" t="s">
        <v>51</v>
      </c>
      <c r="G83" s="224" t="s">
        <v>274</v>
      </c>
      <c r="H83" s="225" t="s">
        <v>275</v>
      </c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</row>
    <row r="84" spans="1:21" ht="12.75">
      <c r="A84" s="535"/>
      <c r="B84" s="198" t="s">
        <v>11</v>
      </c>
      <c r="C84" s="203" t="s">
        <v>9</v>
      </c>
      <c r="D84" s="199" t="s">
        <v>10</v>
      </c>
      <c r="E84" s="155" t="s">
        <v>12</v>
      </c>
      <c r="F84" s="139" t="s">
        <v>149</v>
      </c>
      <c r="G84" s="197">
        <v>593</v>
      </c>
      <c r="H84" s="197">
        <v>707</v>
      </c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</row>
    <row r="85" spans="1:21" ht="12.75">
      <c r="A85" s="535"/>
      <c r="B85" s="148"/>
      <c r="C85" s="204"/>
      <c r="D85" s="152"/>
      <c r="E85" s="157"/>
      <c r="F85" s="139" t="s">
        <v>288</v>
      </c>
      <c r="G85" s="197">
        <v>634</v>
      </c>
      <c r="H85" s="890">
        <v>0</v>
      </c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</row>
    <row r="86" spans="1:21" ht="12.75">
      <c r="A86" s="535"/>
      <c r="B86" s="148"/>
      <c r="C86" s="204"/>
      <c r="D86" s="152"/>
      <c r="E86" s="157"/>
      <c r="F86" s="139" t="s">
        <v>150</v>
      </c>
      <c r="G86" s="197">
        <v>825</v>
      </c>
      <c r="H86" s="197">
        <v>711</v>
      </c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</row>
    <row r="87" spans="1:21" ht="12.75">
      <c r="A87" s="535"/>
      <c r="B87" s="148"/>
      <c r="C87" s="204"/>
      <c r="D87" s="152"/>
      <c r="E87" s="157"/>
      <c r="F87" s="139" t="s">
        <v>289</v>
      </c>
      <c r="G87" s="197">
        <v>866</v>
      </c>
      <c r="H87" s="890">
        <v>0</v>
      </c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</row>
    <row r="88" spans="1:21" ht="12.75">
      <c r="A88" s="535"/>
      <c r="B88" s="148"/>
      <c r="C88" s="204"/>
      <c r="D88" s="199" t="s">
        <v>14</v>
      </c>
      <c r="E88" s="155" t="s">
        <v>15</v>
      </c>
      <c r="F88" s="139" t="s">
        <v>149</v>
      </c>
      <c r="G88" s="197">
        <v>618</v>
      </c>
      <c r="H88" s="197">
        <v>712</v>
      </c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</row>
    <row r="89" spans="1:21" ht="12.75">
      <c r="A89" s="535"/>
      <c r="B89" s="170"/>
      <c r="C89" s="229"/>
      <c r="D89" s="149"/>
      <c r="E89" s="154"/>
      <c r="F89" s="139" t="s">
        <v>150</v>
      </c>
      <c r="G89" s="197">
        <v>851</v>
      </c>
      <c r="H89" s="197">
        <v>725</v>
      </c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</row>
    <row r="90" spans="1:21" ht="12.75">
      <c r="A90" s="535"/>
      <c r="B90" s="1" t="s">
        <v>432</v>
      </c>
      <c r="C90" s="88"/>
      <c r="D90" s="88"/>
      <c r="E90" s="88"/>
      <c r="F90" s="88"/>
      <c r="G90" s="88"/>
      <c r="H90" s="88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</row>
    <row r="91" spans="1:21" ht="12.75">
      <c r="A91" s="535"/>
      <c r="B91" s="243" t="s">
        <v>277</v>
      </c>
      <c r="C91" s="88"/>
      <c r="D91" s="88"/>
      <c r="E91" s="88"/>
      <c r="F91" s="88"/>
      <c r="G91" s="88"/>
      <c r="H91" s="88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</row>
    <row r="92" spans="1:21" ht="12.75">
      <c r="A92" s="535"/>
      <c r="B92" s="98" t="s">
        <v>278</v>
      </c>
      <c r="C92" s="98"/>
      <c r="D92" s="98"/>
      <c r="E92" s="98"/>
      <c r="F92" s="98"/>
      <c r="G92" s="98"/>
      <c r="H92" s="98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</row>
    <row r="93" spans="2:21" ht="12.75">
      <c r="B93" s="98"/>
      <c r="C93" s="98"/>
      <c r="D93" s="98"/>
      <c r="E93" s="98"/>
      <c r="F93" s="98"/>
      <c r="G93" s="98"/>
      <c r="H93" s="98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</row>
    <row r="94" spans="2:21" ht="12.75"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</row>
    <row r="95" spans="1:21" ht="15.75">
      <c r="A95" s="535"/>
      <c r="B95" s="97" t="s">
        <v>438</v>
      </c>
      <c r="C95" s="92"/>
      <c r="D95" s="92"/>
      <c r="E95" s="92"/>
      <c r="F95" s="92"/>
      <c r="G95" s="98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</row>
    <row r="96" spans="1:21" ht="15.75">
      <c r="A96" s="535"/>
      <c r="B96" s="97"/>
      <c r="C96" s="92"/>
      <c r="D96" s="92"/>
      <c r="E96" s="92"/>
      <c r="F96" s="92"/>
      <c r="G96" s="98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</row>
    <row r="97" spans="1:21" ht="12.75">
      <c r="A97" s="535"/>
      <c r="B97" s="92"/>
      <c r="C97" s="92"/>
      <c r="D97" s="98"/>
      <c r="E97" s="98"/>
      <c r="F97" s="98"/>
      <c r="G97" s="92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</row>
    <row r="98" spans="1:21" ht="12.75">
      <c r="A98" s="535"/>
      <c r="B98" s="169" t="s">
        <v>6</v>
      </c>
      <c r="C98" s="169" t="s">
        <v>3</v>
      </c>
      <c r="D98" s="168" t="s">
        <v>4</v>
      </c>
      <c r="E98" s="169" t="s">
        <v>7</v>
      </c>
      <c r="F98" s="169" t="s">
        <v>49</v>
      </c>
      <c r="G98" s="169" t="s">
        <v>93</v>
      </c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</row>
    <row r="99" spans="1:21" ht="12.75">
      <c r="A99" s="535"/>
      <c r="B99" s="201"/>
      <c r="C99" s="201"/>
      <c r="D99" s="91"/>
      <c r="E99" s="201" t="s">
        <v>86</v>
      </c>
      <c r="F99" s="201" t="s">
        <v>51</v>
      </c>
      <c r="G99" s="201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</row>
    <row r="100" spans="1:21" ht="12.75">
      <c r="A100" s="535"/>
      <c r="B100" s="198" t="s">
        <v>11</v>
      </c>
      <c r="C100" s="203" t="s">
        <v>9</v>
      </c>
      <c r="D100" s="199" t="s">
        <v>10</v>
      </c>
      <c r="E100" s="155" t="s">
        <v>12</v>
      </c>
      <c r="F100" s="139" t="s">
        <v>58</v>
      </c>
      <c r="G100" s="197">
        <v>4</v>
      </c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</row>
    <row r="101" spans="1:21" ht="12.75">
      <c r="A101" s="535"/>
      <c r="B101" s="170"/>
      <c r="C101" s="229"/>
      <c r="D101" s="230" t="s">
        <v>14</v>
      </c>
      <c r="E101" s="93" t="s">
        <v>15</v>
      </c>
      <c r="F101" s="139" t="s">
        <v>58</v>
      </c>
      <c r="G101" s="197">
        <v>5</v>
      </c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</row>
    <row r="102" spans="2:21" ht="12.75"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</row>
    <row r="103" spans="2:21" ht="12.75"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</row>
    <row r="104" spans="1:21" ht="15.75">
      <c r="A104" s="535"/>
      <c r="B104" s="97" t="s">
        <v>439</v>
      </c>
      <c r="C104" s="38"/>
      <c r="D104" s="98"/>
      <c r="E104" s="98"/>
      <c r="F104" s="98"/>
      <c r="G104" s="98"/>
      <c r="H104" s="98"/>
      <c r="I104" s="98"/>
      <c r="J104" s="98"/>
      <c r="K104" s="98"/>
      <c r="L104" s="98"/>
      <c r="M104" s="244"/>
      <c r="N104" s="244"/>
      <c r="O104" s="244"/>
      <c r="P104" s="244"/>
      <c r="Q104" s="244"/>
      <c r="R104" s="244"/>
      <c r="S104" s="244"/>
      <c r="T104" s="244"/>
      <c r="U104" s="244"/>
    </row>
    <row r="105" spans="1:21" ht="12.75">
      <c r="A105" s="535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244"/>
      <c r="N105" s="244"/>
      <c r="O105" s="244"/>
      <c r="P105" s="244"/>
      <c r="Q105" s="244"/>
      <c r="R105" s="244"/>
      <c r="S105" s="244"/>
      <c r="T105" s="244"/>
      <c r="U105" s="244"/>
    </row>
    <row r="106" spans="1:21" ht="12.75">
      <c r="A106" s="535"/>
      <c r="B106" s="98"/>
      <c r="C106" s="98"/>
      <c r="D106" s="98"/>
      <c r="E106" s="98"/>
      <c r="F106" s="98"/>
      <c r="G106" s="161" t="s">
        <v>98</v>
      </c>
      <c r="H106" s="162"/>
      <c r="I106" s="163" t="s">
        <v>99</v>
      </c>
      <c r="J106" s="162"/>
      <c r="K106" s="163" t="s">
        <v>245</v>
      </c>
      <c r="L106" s="162"/>
      <c r="M106" s="244"/>
      <c r="N106" s="244"/>
      <c r="O106" s="244"/>
      <c r="P106" s="244"/>
      <c r="Q106" s="244"/>
      <c r="R106" s="244"/>
      <c r="S106" s="244"/>
      <c r="T106" s="244"/>
      <c r="U106" s="244"/>
    </row>
    <row r="107" spans="1:21" ht="12.75">
      <c r="A107" s="535"/>
      <c r="B107" s="169" t="s">
        <v>6</v>
      </c>
      <c r="C107" s="169" t="s">
        <v>3</v>
      </c>
      <c r="D107" s="168" t="s">
        <v>4</v>
      </c>
      <c r="E107" s="169" t="s">
        <v>7</v>
      </c>
      <c r="F107" s="168" t="s">
        <v>49</v>
      </c>
      <c r="G107" s="169" t="s">
        <v>35</v>
      </c>
      <c r="H107" s="169" t="s">
        <v>36</v>
      </c>
      <c r="I107" s="169" t="s">
        <v>35</v>
      </c>
      <c r="J107" s="169" t="s">
        <v>36</v>
      </c>
      <c r="K107" s="169" t="s">
        <v>35</v>
      </c>
      <c r="L107" s="169" t="s">
        <v>36</v>
      </c>
      <c r="M107" s="244"/>
      <c r="N107" s="244"/>
      <c r="O107" s="244"/>
      <c r="P107" s="244"/>
      <c r="Q107" s="244"/>
      <c r="R107" s="244"/>
      <c r="S107" s="244"/>
      <c r="T107" s="244"/>
      <c r="U107" s="244"/>
    </row>
    <row r="108" spans="1:21" ht="12.75">
      <c r="A108" s="535"/>
      <c r="B108" s="94"/>
      <c r="C108" s="94"/>
      <c r="D108" s="96"/>
      <c r="E108" s="232" t="s">
        <v>86</v>
      </c>
      <c r="F108" s="95" t="s">
        <v>51</v>
      </c>
      <c r="G108" s="94"/>
      <c r="H108" s="94"/>
      <c r="I108" s="94"/>
      <c r="J108" s="94"/>
      <c r="K108" s="94"/>
      <c r="L108" s="94"/>
      <c r="M108" s="244"/>
      <c r="N108" s="244"/>
      <c r="O108" s="244"/>
      <c r="P108" s="244"/>
      <c r="Q108" s="244"/>
      <c r="R108" s="244"/>
      <c r="S108" s="244"/>
      <c r="T108" s="244"/>
      <c r="U108" s="244"/>
    </row>
    <row r="109" spans="1:21" ht="12.75">
      <c r="A109" s="535"/>
      <c r="B109" s="198" t="s">
        <v>18</v>
      </c>
      <c r="C109" s="198" t="s">
        <v>37</v>
      </c>
      <c r="D109" s="231" t="s">
        <v>38</v>
      </c>
      <c r="E109" s="155" t="s">
        <v>39</v>
      </c>
      <c r="F109" s="141" t="s">
        <v>291</v>
      </c>
      <c r="G109" s="197">
        <v>9975</v>
      </c>
      <c r="H109" s="197">
        <v>17048</v>
      </c>
      <c r="I109" s="197">
        <v>12237</v>
      </c>
      <c r="J109" s="197">
        <v>22271</v>
      </c>
      <c r="K109" s="197">
        <v>13761</v>
      </c>
      <c r="L109" s="197">
        <v>22303</v>
      </c>
      <c r="M109" s="244"/>
      <c r="N109" s="244"/>
      <c r="O109" s="244"/>
      <c r="P109" s="244"/>
      <c r="Q109" s="244"/>
      <c r="R109" s="244"/>
      <c r="S109" s="244"/>
      <c r="T109" s="244"/>
      <c r="U109" s="244"/>
    </row>
    <row r="110" spans="1:21" ht="12.75">
      <c r="A110" s="535"/>
      <c r="B110" s="148"/>
      <c r="C110" s="148"/>
      <c r="D110" s="231" t="s">
        <v>41</v>
      </c>
      <c r="E110" s="155" t="s">
        <v>42</v>
      </c>
      <c r="F110" s="141" t="s">
        <v>291</v>
      </c>
      <c r="G110" s="197">
        <v>13340</v>
      </c>
      <c r="H110" s="197">
        <v>15337</v>
      </c>
      <c r="I110" s="197">
        <v>12310</v>
      </c>
      <c r="J110" s="197">
        <v>19996</v>
      </c>
      <c r="K110" s="197">
        <v>13761</v>
      </c>
      <c r="L110" s="197">
        <v>22303</v>
      </c>
      <c r="M110" s="244"/>
      <c r="N110" s="244"/>
      <c r="O110" s="244"/>
      <c r="P110" s="244"/>
      <c r="Q110" s="244"/>
      <c r="R110" s="244"/>
      <c r="S110" s="244"/>
      <c r="T110" s="244"/>
      <c r="U110" s="244"/>
    </row>
    <row r="111" spans="1:21" ht="12.75">
      <c r="A111" s="535"/>
      <c r="B111" s="148"/>
      <c r="C111" s="148"/>
      <c r="D111" s="231" t="s">
        <v>43</v>
      </c>
      <c r="E111" s="155" t="s">
        <v>44</v>
      </c>
      <c r="F111" s="141" t="s">
        <v>291</v>
      </c>
      <c r="G111" s="197">
        <v>11980</v>
      </c>
      <c r="H111" s="197">
        <v>14663</v>
      </c>
      <c r="I111" s="197">
        <v>12653</v>
      </c>
      <c r="J111" s="197">
        <v>19100</v>
      </c>
      <c r="K111" s="197">
        <v>14434</v>
      </c>
      <c r="L111" s="197">
        <v>24961</v>
      </c>
      <c r="M111" s="244"/>
      <c r="N111" s="244"/>
      <c r="O111" s="244"/>
      <c r="P111" s="244"/>
      <c r="Q111" s="244"/>
      <c r="R111" s="244"/>
      <c r="S111" s="244"/>
      <c r="T111" s="244"/>
      <c r="U111" s="244"/>
    </row>
    <row r="112" spans="1:21" ht="12.75">
      <c r="A112" s="535"/>
      <c r="B112" s="148"/>
      <c r="C112" s="148"/>
      <c r="D112" s="90" t="s">
        <v>45</v>
      </c>
      <c r="E112" s="155" t="s">
        <v>46</v>
      </c>
      <c r="F112" s="141" t="s">
        <v>291</v>
      </c>
      <c r="G112" s="197">
        <v>12372</v>
      </c>
      <c r="H112" s="197">
        <v>13928</v>
      </c>
      <c r="I112" s="197">
        <v>12653</v>
      </c>
      <c r="J112" s="197">
        <v>19100</v>
      </c>
      <c r="K112" s="197">
        <v>14753</v>
      </c>
      <c r="L112" s="197">
        <v>24351</v>
      </c>
      <c r="M112" s="244"/>
      <c r="N112" s="244"/>
      <c r="O112" s="244"/>
      <c r="P112" s="244"/>
      <c r="Q112" s="244"/>
      <c r="R112" s="244"/>
      <c r="S112" s="244"/>
      <c r="T112" s="244"/>
      <c r="U112" s="244"/>
    </row>
    <row r="113" spans="1:21" ht="12.75">
      <c r="A113" s="535"/>
      <c r="B113" s="94"/>
      <c r="C113" s="94"/>
      <c r="D113" s="135" t="s">
        <v>177</v>
      </c>
      <c r="E113" s="93" t="s">
        <v>176</v>
      </c>
      <c r="F113" s="141" t="s">
        <v>291</v>
      </c>
      <c r="G113" s="197">
        <v>15108</v>
      </c>
      <c r="H113" s="197">
        <v>14566</v>
      </c>
      <c r="I113" s="197">
        <v>13797</v>
      </c>
      <c r="J113" s="197">
        <v>18802</v>
      </c>
      <c r="K113" s="197">
        <v>16182</v>
      </c>
      <c r="L113" s="197">
        <v>22657</v>
      </c>
      <c r="M113" s="244"/>
      <c r="N113" s="244"/>
      <c r="O113" s="244"/>
      <c r="P113" s="244"/>
      <c r="Q113" s="244"/>
      <c r="R113" s="244"/>
      <c r="S113" s="244"/>
      <c r="T113" s="244"/>
      <c r="U113" s="244"/>
    </row>
    <row r="114" spans="2:21" ht="12.75"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</row>
    <row r="115" spans="2:21" ht="12.75"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</row>
    <row r="116" spans="1:21" ht="15.75">
      <c r="A116" s="535"/>
      <c r="B116" s="97" t="s">
        <v>292</v>
      </c>
      <c r="C116" s="98"/>
      <c r="D116" s="116"/>
      <c r="E116" s="98"/>
      <c r="F116" s="98"/>
      <c r="G116" s="98"/>
      <c r="H116" s="9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</row>
    <row r="117" spans="1:21" ht="12.75">
      <c r="A117" s="535"/>
      <c r="B117" s="98"/>
      <c r="C117" s="98"/>
      <c r="D117" s="116"/>
      <c r="E117" s="98"/>
      <c r="F117" s="98"/>
      <c r="G117" s="98"/>
      <c r="H117" s="9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</row>
    <row r="118" spans="1:21" ht="12.75">
      <c r="A118" s="535"/>
      <c r="B118" s="132" t="s">
        <v>100</v>
      </c>
      <c r="C118" s="132" t="s">
        <v>47</v>
      </c>
      <c r="D118" s="132" t="s">
        <v>181</v>
      </c>
      <c r="E118" s="132" t="s">
        <v>50</v>
      </c>
      <c r="F118" s="132" t="s">
        <v>98</v>
      </c>
      <c r="G118" s="132" t="s">
        <v>99</v>
      </c>
      <c r="H118" s="132" t="s">
        <v>245</v>
      </c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</row>
    <row r="119" spans="1:21" ht="12.75">
      <c r="A119" s="535"/>
      <c r="B119" s="99" t="s">
        <v>101</v>
      </c>
      <c r="C119" s="100" t="s">
        <v>1</v>
      </c>
      <c r="D119" s="117" t="s">
        <v>72</v>
      </c>
      <c r="E119" s="101" t="s">
        <v>102</v>
      </c>
      <c r="F119" s="102">
        <v>1017</v>
      </c>
      <c r="G119" s="102">
        <v>881</v>
      </c>
      <c r="H119" s="102">
        <v>843</v>
      </c>
      <c r="I119" s="244"/>
      <c r="J119" s="536"/>
      <c r="K119" s="536"/>
      <c r="L119" s="536"/>
      <c r="M119" s="244"/>
      <c r="N119" s="244"/>
      <c r="O119" s="244"/>
      <c r="P119" s="244"/>
      <c r="Q119" s="244"/>
      <c r="R119" s="244"/>
      <c r="S119" s="244"/>
      <c r="T119" s="244"/>
      <c r="U119" s="244"/>
    </row>
    <row r="120" spans="1:21" ht="12.75">
      <c r="A120" s="535"/>
      <c r="B120" s="103"/>
      <c r="C120" s="108"/>
      <c r="D120" s="118"/>
      <c r="E120" s="101" t="s">
        <v>103</v>
      </c>
      <c r="F120" s="102">
        <v>156</v>
      </c>
      <c r="G120" s="102">
        <v>156</v>
      </c>
      <c r="H120" s="102">
        <v>156</v>
      </c>
      <c r="I120" s="244"/>
      <c r="J120" s="536"/>
      <c r="K120" s="536"/>
      <c r="L120" s="536"/>
      <c r="M120" s="244"/>
      <c r="N120" s="244"/>
      <c r="O120" s="244"/>
      <c r="P120" s="244"/>
      <c r="Q120" s="244"/>
      <c r="R120" s="244"/>
      <c r="S120" s="244"/>
      <c r="T120" s="244"/>
      <c r="U120" s="244"/>
    </row>
    <row r="121" spans="1:21" ht="12.75">
      <c r="A121" s="535"/>
      <c r="B121" s="103"/>
      <c r="C121" s="108"/>
      <c r="D121" s="119" t="s">
        <v>176</v>
      </c>
      <c r="E121" s="101" t="s">
        <v>102</v>
      </c>
      <c r="F121" s="102">
        <v>1017</v>
      </c>
      <c r="G121" s="102">
        <v>881</v>
      </c>
      <c r="H121" s="102">
        <v>843</v>
      </c>
      <c r="I121" s="244"/>
      <c r="J121" s="536"/>
      <c r="K121" s="536"/>
      <c r="L121" s="536"/>
      <c r="M121" s="244"/>
      <c r="N121" s="244"/>
      <c r="O121" s="244"/>
      <c r="P121" s="244"/>
      <c r="Q121" s="244"/>
      <c r="R121" s="244"/>
      <c r="S121" s="244"/>
      <c r="T121" s="244"/>
      <c r="U121" s="244"/>
    </row>
    <row r="122" spans="1:21" ht="12.75">
      <c r="A122" s="535"/>
      <c r="B122" s="103"/>
      <c r="C122" s="108"/>
      <c r="D122" s="118"/>
      <c r="E122" s="101" t="s">
        <v>103</v>
      </c>
      <c r="F122" s="102">
        <v>156</v>
      </c>
      <c r="G122" s="102">
        <v>156</v>
      </c>
      <c r="H122" s="102">
        <v>156</v>
      </c>
      <c r="I122" s="244"/>
      <c r="J122" s="536"/>
      <c r="K122" s="536"/>
      <c r="L122" s="536"/>
      <c r="M122" s="244"/>
      <c r="N122" s="244"/>
      <c r="O122" s="244"/>
      <c r="P122" s="244"/>
      <c r="Q122" s="244"/>
      <c r="R122" s="244"/>
      <c r="S122" s="244"/>
      <c r="T122" s="244"/>
      <c r="U122" s="244"/>
    </row>
    <row r="123" spans="1:21" ht="12.75">
      <c r="A123" s="535"/>
      <c r="B123" s="103"/>
      <c r="C123" s="107" t="s">
        <v>2</v>
      </c>
      <c r="D123" s="117" t="s">
        <v>72</v>
      </c>
      <c r="E123" s="101" t="s">
        <v>104</v>
      </c>
      <c r="F123" s="102">
        <v>5761</v>
      </c>
      <c r="G123" s="102">
        <v>5761</v>
      </c>
      <c r="H123" s="102">
        <v>5761</v>
      </c>
      <c r="I123" s="244"/>
      <c r="J123" s="536"/>
      <c r="K123" s="536"/>
      <c r="L123" s="536"/>
      <c r="M123" s="244"/>
      <c r="N123" s="244"/>
      <c r="O123" s="244"/>
      <c r="P123" s="244"/>
      <c r="Q123" s="244"/>
      <c r="R123" s="244"/>
      <c r="S123" s="244"/>
      <c r="T123" s="244"/>
      <c r="U123" s="244"/>
    </row>
    <row r="124" spans="1:21" ht="12.75">
      <c r="A124" s="535"/>
      <c r="B124" s="103"/>
      <c r="C124" s="104"/>
      <c r="D124" s="122" t="s">
        <v>176</v>
      </c>
      <c r="E124" s="101" t="s">
        <v>104</v>
      </c>
      <c r="F124" s="102">
        <v>5761</v>
      </c>
      <c r="G124" s="102">
        <v>5761</v>
      </c>
      <c r="H124" s="102">
        <v>5761</v>
      </c>
      <c r="I124" s="244"/>
      <c r="J124" s="536"/>
      <c r="K124" s="536"/>
      <c r="L124" s="536"/>
      <c r="M124" s="244"/>
      <c r="N124" s="244"/>
      <c r="O124" s="244"/>
      <c r="P124" s="244"/>
      <c r="Q124" s="244"/>
      <c r="R124" s="244"/>
      <c r="S124" s="244"/>
      <c r="T124" s="244"/>
      <c r="U124" s="244"/>
    </row>
    <row r="125" spans="1:21" ht="12.75">
      <c r="A125" s="535"/>
      <c r="B125" s="106" t="s">
        <v>105</v>
      </c>
      <c r="C125" s="107" t="s">
        <v>1</v>
      </c>
      <c r="D125" s="117"/>
      <c r="E125" s="101" t="s">
        <v>106</v>
      </c>
      <c r="F125" s="102">
        <v>6028</v>
      </c>
      <c r="G125" s="102">
        <v>5757</v>
      </c>
      <c r="H125" s="102">
        <v>5845</v>
      </c>
      <c r="I125" s="244"/>
      <c r="J125" s="536"/>
      <c r="K125" s="536"/>
      <c r="L125" s="536"/>
      <c r="M125" s="244"/>
      <c r="N125" s="244"/>
      <c r="O125" s="244"/>
      <c r="P125" s="244"/>
      <c r="Q125" s="244"/>
      <c r="R125" s="244"/>
      <c r="S125" s="244"/>
      <c r="T125" s="244"/>
      <c r="U125" s="244"/>
    </row>
    <row r="126" spans="1:21" ht="12.75">
      <c r="A126" s="535"/>
      <c r="B126" s="103"/>
      <c r="C126" s="108"/>
      <c r="D126" s="119" t="s">
        <v>72</v>
      </c>
      <c r="E126" s="101" t="s">
        <v>107</v>
      </c>
      <c r="F126" s="102">
        <v>4902</v>
      </c>
      <c r="G126" s="102">
        <v>4912</v>
      </c>
      <c r="H126" s="102">
        <v>5175</v>
      </c>
      <c r="I126" s="244"/>
      <c r="J126" s="536"/>
      <c r="K126" s="536"/>
      <c r="L126" s="536"/>
      <c r="M126" s="244"/>
      <c r="N126" s="244"/>
      <c r="O126" s="244"/>
      <c r="P126" s="244"/>
      <c r="Q126" s="244"/>
      <c r="R126" s="244"/>
      <c r="S126" s="244"/>
      <c r="T126" s="244"/>
      <c r="U126" s="244"/>
    </row>
    <row r="127" spans="1:21" ht="12.75">
      <c r="A127" s="535"/>
      <c r="B127" s="103"/>
      <c r="C127" s="108"/>
      <c r="D127" s="118"/>
      <c r="E127" s="101" t="s">
        <v>108</v>
      </c>
      <c r="F127" s="102">
        <v>5017</v>
      </c>
      <c r="G127" s="102">
        <v>4891</v>
      </c>
      <c r="H127" s="102">
        <v>4922</v>
      </c>
      <c r="I127" s="244"/>
      <c r="J127" s="536"/>
      <c r="K127" s="536"/>
      <c r="L127" s="536"/>
      <c r="M127" s="244"/>
      <c r="N127" s="244"/>
      <c r="O127" s="244"/>
      <c r="P127" s="244"/>
      <c r="Q127" s="244"/>
      <c r="R127" s="244"/>
      <c r="S127" s="244"/>
      <c r="T127" s="244"/>
      <c r="U127" s="244"/>
    </row>
    <row r="128" spans="1:21" ht="12.75">
      <c r="A128" s="535"/>
      <c r="B128" s="103"/>
      <c r="C128" s="108"/>
      <c r="D128" s="117"/>
      <c r="E128" s="101" t="s">
        <v>106</v>
      </c>
      <c r="F128" s="102">
        <v>6359</v>
      </c>
      <c r="G128" s="102">
        <v>5757</v>
      </c>
      <c r="H128" s="102">
        <v>5845</v>
      </c>
      <c r="I128" s="244"/>
      <c r="J128" s="536"/>
      <c r="K128" s="536"/>
      <c r="L128" s="536"/>
      <c r="M128" s="244"/>
      <c r="N128" s="244"/>
      <c r="O128" s="244"/>
      <c r="P128" s="244"/>
      <c r="Q128" s="244"/>
      <c r="R128" s="244"/>
      <c r="S128" s="244"/>
      <c r="T128" s="244"/>
      <c r="U128" s="244"/>
    </row>
    <row r="129" spans="1:21" ht="12.75">
      <c r="A129" s="535"/>
      <c r="B129" s="103"/>
      <c r="C129" s="108"/>
      <c r="D129" s="119" t="s">
        <v>176</v>
      </c>
      <c r="E129" s="101" t="s">
        <v>107</v>
      </c>
      <c r="F129" s="102">
        <v>5653</v>
      </c>
      <c r="G129" s="102">
        <v>4955</v>
      </c>
      <c r="H129" s="102">
        <v>5175</v>
      </c>
      <c r="I129" s="244"/>
      <c r="J129" s="536"/>
      <c r="K129" s="536"/>
      <c r="L129" s="536"/>
      <c r="M129" s="244"/>
      <c r="N129" s="244"/>
      <c r="O129" s="244"/>
      <c r="P129" s="244"/>
      <c r="Q129" s="244"/>
      <c r="R129" s="244"/>
      <c r="S129" s="244"/>
      <c r="T129" s="244"/>
      <c r="U129" s="244"/>
    </row>
    <row r="130" spans="1:21" ht="12.75">
      <c r="A130" s="535"/>
      <c r="B130" s="103"/>
      <c r="C130" s="108"/>
      <c r="D130" s="118"/>
      <c r="E130" s="101" t="s">
        <v>108</v>
      </c>
      <c r="F130" s="102">
        <v>5534</v>
      </c>
      <c r="G130" s="102">
        <v>4934</v>
      </c>
      <c r="H130" s="102">
        <v>4922</v>
      </c>
      <c r="I130" s="244"/>
      <c r="J130" s="536"/>
      <c r="K130" s="536"/>
      <c r="L130" s="536"/>
      <c r="M130" s="244"/>
      <c r="N130" s="244"/>
      <c r="O130" s="244"/>
      <c r="P130" s="244"/>
      <c r="Q130" s="244"/>
      <c r="R130" s="244"/>
      <c r="S130" s="244"/>
      <c r="T130" s="244"/>
      <c r="U130" s="244"/>
    </row>
    <row r="131" spans="1:21" ht="12.75">
      <c r="A131" s="535"/>
      <c r="B131" s="123"/>
      <c r="C131" s="111" t="s">
        <v>109</v>
      </c>
      <c r="D131" s="122" t="s">
        <v>72</v>
      </c>
      <c r="E131" s="101" t="s">
        <v>108</v>
      </c>
      <c r="F131" s="102">
        <v>5819</v>
      </c>
      <c r="G131" s="102">
        <v>5548</v>
      </c>
      <c r="H131" s="102">
        <v>6170</v>
      </c>
      <c r="I131" s="244"/>
      <c r="J131" s="536"/>
      <c r="K131" s="536"/>
      <c r="L131" s="536"/>
      <c r="M131" s="244"/>
      <c r="N131" s="244"/>
      <c r="O131" s="244"/>
      <c r="P131" s="244"/>
      <c r="Q131" s="244"/>
      <c r="R131" s="244"/>
      <c r="S131" s="244"/>
      <c r="T131" s="244"/>
      <c r="U131" s="244"/>
    </row>
    <row r="132" spans="1:21" ht="12.75">
      <c r="A132" s="535"/>
      <c r="B132" s="123"/>
      <c r="C132" s="114"/>
      <c r="D132" s="118" t="s">
        <v>176</v>
      </c>
      <c r="E132" s="101" t="s">
        <v>108</v>
      </c>
      <c r="F132" s="102">
        <v>6288</v>
      </c>
      <c r="G132" s="102">
        <v>5548</v>
      </c>
      <c r="H132" s="102">
        <v>6170</v>
      </c>
      <c r="I132" s="244"/>
      <c r="J132" s="536"/>
      <c r="K132" s="536"/>
      <c r="L132" s="536"/>
      <c r="M132" s="244"/>
      <c r="N132" s="244"/>
      <c r="O132" s="244"/>
      <c r="P132" s="244"/>
      <c r="Q132" s="244"/>
      <c r="R132" s="244"/>
      <c r="S132" s="244"/>
      <c r="T132" s="244"/>
      <c r="U132" s="244"/>
    </row>
    <row r="133" spans="1:21" ht="12.75">
      <c r="A133" s="535"/>
      <c r="B133" s="124" t="s">
        <v>110</v>
      </c>
      <c r="C133" s="115" t="s">
        <v>2</v>
      </c>
      <c r="D133" s="122" t="s">
        <v>72</v>
      </c>
      <c r="E133" s="101" t="s">
        <v>111</v>
      </c>
      <c r="F133" s="102">
        <v>5643</v>
      </c>
      <c r="G133" s="102">
        <v>5434</v>
      </c>
      <c r="H133" s="102">
        <v>5621</v>
      </c>
      <c r="I133" s="244"/>
      <c r="J133" s="536"/>
      <c r="K133" s="536"/>
      <c r="L133" s="536"/>
      <c r="M133" s="244"/>
      <c r="N133" s="244"/>
      <c r="O133" s="244"/>
      <c r="P133" s="244"/>
      <c r="Q133" s="244"/>
      <c r="R133" s="244"/>
      <c r="S133" s="244"/>
      <c r="T133" s="244"/>
      <c r="U133" s="244"/>
    </row>
    <row r="134" spans="1:21" ht="12.75">
      <c r="A134" s="535"/>
      <c r="B134" s="125"/>
      <c r="C134" s="115"/>
      <c r="D134" s="118" t="s">
        <v>176</v>
      </c>
      <c r="E134" s="101" t="s">
        <v>111</v>
      </c>
      <c r="F134" s="102">
        <v>5643</v>
      </c>
      <c r="G134" s="102">
        <v>5434</v>
      </c>
      <c r="H134" s="102">
        <v>5621</v>
      </c>
      <c r="I134" s="244"/>
      <c r="J134" s="536"/>
      <c r="K134" s="536"/>
      <c r="L134" s="536"/>
      <c r="M134" s="244"/>
      <c r="N134" s="244"/>
      <c r="O134" s="244"/>
      <c r="P134" s="244"/>
      <c r="Q134" s="244"/>
      <c r="R134" s="244"/>
      <c r="S134" s="244"/>
      <c r="T134" s="244"/>
      <c r="U134" s="244"/>
    </row>
    <row r="135" spans="1:21" ht="12.75">
      <c r="A135" s="535"/>
      <c r="B135" s="103" t="s">
        <v>112</v>
      </c>
      <c r="C135" s="107" t="s">
        <v>1</v>
      </c>
      <c r="D135" s="122" t="s">
        <v>39</v>
      </c>
      <c r="E135" s="101" t="s">
        <v>182</v>
      </c>
      <c r="F135" s="102">
        <v>1355</v>
      </c>
      <c r="G135" s="102">
        <v>1269</v>
      </c>
      <c r="H135" s="102">
        <v>1427</v>
      </c>
      <c r="I135" s="244"/>
      <c r="J135" s="536"/>
      <c r="K135" s="536"/>
      <c r="L135" s="536"/>
      <c r="M135" s="244"/>
      <c r="N135" s="244"/>
      <c r="O135" s="244"/>
      <c r="P135" s="244"/>
      <c r="Q135" s="244"/>
      <c r="R135" s="244"/>
      <c r="S135" s="244"/>
      <c r="T135" s="244"/>
      <c r="U135" s="244"/>
    </row>
    <row r="136" spans="1:21" ht="12.75">
      <c r="A136" s="535"/>
      <c r="B136" s="103" t="s">
        <v>113</v>
      </c>
      <c r="C136" s="108"/>
      <c r="D136" s="118" t="s">
        <v>42</v>
      </c>
      <c r="E136" s="101" t="s">
        <v>182</v>
      </c>
      <c r="F136" s="102">
        <v>1359</v>
      </c>
      <c r="G136" s="102">
        <v>1265</v>
      </c>
      <c r="H136" s="102">
        <v>1428</v>
      </c>
      <c r="I136" s="244"/>
      <c r="J136" s="536"/>
      <c r="K136" s="536"/>
      <c r="L136" s="536"/>
      <c r="M136" s="244"/>
      <c r="N136" s="244"/>
      <c r="O136" s="244"/>
      <c r="P136" s="244"/>
      <c r="Q136" s="244"/>
      <c r="R136" s="244"/>
      <c r="S136" s="244"/>
      <c r="T136" s="244"/>
      <c r="U136" s="244"/>
    </row>
    <row r="137" spans="1:21" ht="12.75">
      <c r="A137" s="535"/>
      <c r="B137" s="103"/>
      <c r="C137" s="108"/>
      <c r="D137" s="118" t="s">
        <v>44</v>
      </c>
      <c r="E137" s="101" t="s">
        <v>182</v>
      </c>
      <c r="F137" s="102">
        <v>1376</v>
      </c>
      <c r="G137" s="102">
        <v>1280</v>
      </c>
      <c r="H137" s="102">
        <v>1428</v>
      </c>
      <c r="I137" s="244"/>
      <c r="J137" s="536"/>
      <c r="K137" s="536"/>
      <c r="L137" s="536"/>
      <c r="M137" s="244"/>
      <c r="N137" s="244"/>
      <c r="O137" s="244"/>
      <c r="P137" s="244"/>
      <c r="Q137" s="244"/>
      <c r="R137" s="244"/>
      <c r="S137" s="244"/>
      <c r="T137" s="244"/>
      <c r="U137" s="244"/>
    </row>
    <row r="138" spans="1:21" ht="12.75">
      <c r="A138" s="535"/>
      <c r="B138" s="103"/>
      <c r="C138" s="108"/>
      <c r="D138" s="118" t="s">
        <v>46</v>
      </c>
      <c r="E138" s="101" t="s">
        <v>182</v>
      </c>
      <c r="F138" s="102">
        <v>1406</v>
      </c>
      <c r="G138" s="102">
        <v>1293</v>
      </c>
      <c r="H138" s="102">
        <v>1431</v>
      </c>
      <c r="I138" s="244"/>
      <c r="J138" s="536"/>
      <c r="K138" s="536"/>
      <c r="L138" s="536"/>
      <c r="M138" s="244"/>
      <c r="N138" s="244"/>
      <c r="O138" s="244"/>
      <c r="P138" s="244"/>
      <c r="Q138" s="244"/>
      <c r="R138" s="244"/>
      <c r="S138" s="244"/>
      <c r="T138" s="244"/>
      <c r="U138" s="244"/>
    </row>
    <row r="139" spans="1:21" ht="12.75">
      <c r="A139" s="535"/>
      <c r="B139" s="103"/>
      <c r="C139" s="108"/>
      <c r="D139" s="118" t="s">
        <v>176</v>
      </c>
      <c r="E139" s="101" t="s">
        <v>182</v>
      </c>
      <c r="F139" s="102">
        <v>5872</v>
      </c>
      <c r="G139" s="102">
        <v>5232</v>
      </c>
      <c r="H139" s="102">
        <v>5619</v>
      </c>
      <c r="I139" s="244"/>
      <c r="J139" s="536"/>
      <c r="K139" s="536"/>
      <c r="L139" s="536"/>
      <c r="M139" s="244"/>
      <c r="N139" s="244"/>
      <c r="O139" s="244"/>
      <c r="P139" s="244"/>
      <c r="Q139" s="244"/>
      <c r="R139" s="244"/>
      <c r="S139" s="244"/>
      <c r="T139" s="244"/>
      <c r="U139" s="244"/>
    </row>
    <row r="140" spans="1:21" ht="12.75">
      <c r="A140" s="535"/>
      <c r="B140" s="123"/>
      <c r="C140" s="111" t="s">
        <v>2</v>
      </c>
      <c r="D140" s="122" t="s">
        <v>72</v>
      </c>
      <c r="E140" s="101" t="s">
        <v>183</v>
      </c>
      <c r="F140" s="102">
        <v>15440</v>
      </c>
      <c r="G140" s="102">
        <v>16169</v>
      </c>
      <c r="H140" s="102">
        <v>20732</v>
      </c>
      <c r="I140" s="244"/>
      <c r="J140" s="536"/>
      <c r="K140" s="536"/>
      <c r="L140" s="536"/>
      <c r="M140" s="244"/>
      <c r="N140" s="244"/>
      <c r="O140" s="244"/>
      <c r="P140" s="244"/>
      <c r="Q140" s="244"/>
      <c r="R140" s="244"/>
      <c r="S140" s="244"/>
      <c r="T140" s="244"/>
      <c r="U140" s="244"/>
    </row>
    <row r="141" spans="1:21" ht="12.75">
      <c r="A141" s="535"/>
      <c r="B141" s="123"/>
      <c r="C141" s="114"/>
      <c r="D141" s="122" t="s">
        <v>176</v>
      </c>
      <c r="E141" s="101" t="s">
        <v>183</v>
      </c>
      <c r="F141" s="102">
        <v>24771</v>
      </c>
      <c r="G141" s="102">
        <v>25583</v>
      </c>
      <c r="H141" s="102">
        <v>20623</v>
      </c>
      <c r="I141" s="244"/>
      <c r="J141" s="536"/>
      <c r="K141" s="536"/>
      <c r="L141" s="536"/>
      <c r="M141" s="244"/>
      <c r="N141" s="244"/>
      <c r="O141" s="244"/>
      <c r="P141" s="244"/>
      <c r="Q141" s="244"/>
      <c r="R141" s="244"/>
      <c r="S141" s="244"/>
      <c r="T141" s="244"/>
      <c r="U141" s="244"/>
    </row>
    <row r="142" spans="1:21" ht="12.75">
      <c r="A142" s="535"/>
      <c r="B142" s="109" t="s">
        <v>114</v>
      </c>
      <c r="C142" s="126" t="s">
        <v>1</v>
      </c>
      <c r="D142" s="127"/>
      <c r="E142" s="101" t="s">
        <v>115</v>
      </c>
      <c r="F142" s="102">
        <v>818</v>
      </c>
      <c r="G142" s="102">
        <v>871</v>
      </c>
      <c r="H142" s="102">
        <v>1100</v>
      </c>
      <c r="I142" s="244"/>
      <c r="J142" s="536"/>
      <c r="K142" s="536"/>
      <c r="L142" s="536"/>
      <c r="M142" s="244"/>
      <c r="N142" s="244"/>
      <c r="O142" s="244"/>
      <c r="P142" s="244"/>
      <c r="Q142" s="244"/>
      <c r="R142" s="244"/>
      <c r="S142" s="244"/>
      <c r="T142" s="244"/>
      <c r="U142" s="244"/>
    </row>
    <row r="143" spans="1:21" ht="12.75">
      <c r="A143" s="535"/>
      <c r="B143" s="105"/>
      <c r="C143" s="126" t="s">
        <v>2</v>
      </c>
      <c r="D143" s="127"/>
      <c r="E143" s="101" t="s">
        <v>116</v>
      </c>
      <c r="F143" s="102">
        <v>1301</v>
      </c>
      <c r="G143" s="102">
        <v>1575</v>
      </c>
      <c r="H143" s="102">
        <v>1778</v>
      </c>
      <c r="I143" s="244"/>
      <c r="J143" s="536"/>
      <c r="K143" s="536"/>
      <c r="L143" s="536"/>
      <c r="M143" s="244"/>
      <c r="N143" s="244"/>
      <c r="O143" s="244"/>
      <c r="P143" s="244"/>
      <c r="Q143" s="244"/>
      <c r="R143" s="244"/>
      <c r="S143" s="244"/>
      <c r="T143" s="244"/>
      <c r="U143" s="244"/>
    </row>
    <row r="144" spans="1:21" ht="12.75">
      <c r="A144" s="535"/>
      <c r="B144" s="109" t="s">
        <v>117</v>
      </c>
      <c r="C144" s="126" t="s">
        <v>118</v>
      </c>
      <c r="D144" s="127"/>
      <c r="E144" s="101" t="s">
        <v>119</v>
      </c>
      <c r="F144" s="102">
        <v>53</v>
      </c>
      <c r="G144" s="102">
        <v>53</v>
      </c>
      <c r="H144" s="102">
        <v>53</v>
      </c>
      <c r="I144" s="244"/>
      <c r="J144" s="536"/>
      <c r="K144" s="536"/>
      <c r="L144" s="536"/>
      <c r="M144" s="244"/>
      <c r="N144" s="244"/>
      <c r="O144" s="244"/>
      <c r="P144" s="244"/>
      <c r="Q144" s="244"/>
      <c r="R144" s="244"/>
      <c r="S144" s="244"/>
      <c r="T144" s="244"/>
      <c r="U144" s="244"/>
    </row>
    <row r="145" spans="1:21" ht="14.25">
      <c r="A145" s="535"/>
      <c r="B145" s="109" t="s">
        <v>184</v>
      </c>
      <c r="C145" s="126" t="s">
        <v>118</v>
      </c>
      <c r="D145" s="127"/>
      <c r="E145" s="101" t="s">
        <v>119</v>
      </c>
      <c r="F145" s="102">
        <v>129</v>
      </c>
      <c r="G145" s="102">
        <v>129</v>
      </c>
      <c r="H145" s="102">
        <v>129</v>
      </c>
      <c r="I145" s="244"/>
      <c r="J145" s="536"/>
      <c r="K145" s="536"/>
      <c r="L145" s="536"/>
      <c r="M145" s="244"/>
      <c r="N145" s="244"/>
      <c r="O145" s="244"/>
      <c r="P145" s="244"/>
      <c r="Q145" s="244"/>
      <c r="R145" s="244"/>
      <c r="S145" s="244"/>
      <c r="T145" s="244"/>
      <c r="U145" s="244"/>
    </row>
    <row r="146" spans="1:21" ht="12.75">
      <c r="A146" s="535"/>
      <c r="B146" s="110" t="s">
        <v>95</v>
      </c>
      <c r="C146" s="126" t="s">
        <v>1</v>
      </c>
      <c r="D146" s="127"/>
      <c r="E146" s="101" t="s">
        <v>120</v>
      </c>
      <c r="F146" s="102">
        <v>276</v>
      </c>
      <c r="G146" s="102">
        <v>276</v>
      </c>
      <c r="H146" s="102">
        <v>276</v>
      </c>
      <c r="I146" s="244"/>
      <c r="J146" s="536"/>
      <c r="K146" s="536"/>
      <c r="L146" s="536"/>
      <c r="M146" s="244"/>
      <c r="N146" s="244"/>
      <c r="O146" s="244"/>
      <c r="P146" s="244"/>
      <c r="Q146" s="244"/>
      <c r="R146" s="244"/>
      <c r="S146" s="244"/>
      <c r="T146" s="244"/>
      <c r="U146" s="244"/>
    </row>
    <row r="147" spans="1:21" ht="12.75">
      <c r="A147" s="535"/>
      <c r="B147" s="109" t="s">
        <v>121</v>
      </c>
      <c r="C147" s="128" t="s">
        <v>1</v>
      </c>
      <c r="D147" s="120"/>
      <c r="E147" s="112" t="s">
        <v>122</v>
      </c>
      <c r="F147" s="102">
        <v>470</v>
      </c>
      <c r="G147" s="102">
        <v>470</v>
      </c>
      <c r="H147" s="102">
        <v>470</v>
      </c>
      <c r="I147" s="244"/>
      <c r="J147" s="536"/>
      <c r="K147" s="536"/>
      <c r="L147" s="536"/>
      <c r="M147" s="244"/>
      <c r="N147" s="244"/>
      <c r="O147" s="244"/>
      <c r="P147" s="244"/>
      <c r="Q147" s="244"/>
      <c r="R147" s="244"/>
      <c r="S147" s="244"/>
      <c r="T147" s="244"/>
      <c r="U147" s="244"/>
    </row>
    <row r="148" spans="1:21" ht="12.75">
      <c r="A148" s="535"/>
      <c r="B148" s="113"/>
      <c r="C148" s="129"/>
      <c r="D148" s="121"/>
      <c r="E148" s="112" t="s">
        <v>123</v>
      </c>
      <c r="F148" s="102">
        <v>153</v>
      </c>
      <c r="G148" s="102">
        <v>153</v>
      </c>
      <c r="H148" s="102">
        <v>153</v>
      </c>
      <c r="I148" s="244"/>
      <c r="J148" s="536"/>
      <c r="K148" s="536"/>
      <c r="L148" s="536"/>
      <c r="M148" s="244"/>
      <c r="N148" s="244"/>
      <c r="O148" s="244"/>
      <c r="P148" s="244"/>
      <c r="Q148" s="244"/>
      <c r="R148" s="244"/>
      <c r="S148" s="244"/>
      <c r="T148" s="244"/>
      <c r="U148" s="244"/>
    </row>
    <row r="149" spans="2:21" ht="12.75"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</row>
    <row r="150" spans="2:21" ht="12.75"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</row>
    <row r="151" spans="1:21" ht="15.75">
      <c r="A151" s="535"/>
      <c r="B151" s="97" t="s">
        <v>440</v>
      </c>
      <c r="C151" s="130"/>
      <c r="D151" s="130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</row>
    <row r="152" spans="1:21" ht="12.75">
      <c r="A152" s="535"/>
      <c r="B152" s="130"/>
      <c r="C152" s="130"/>
      <c r="D152" s="130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</row>
    <row r="153" spans="1:21" ht="12.75">
      <c r="A153" s="535"/>
      <c r="B153" s="133" t="s">
        <v>50</v>
      </c>
      <c r="C153" s="133" t="s">
        <v>92</v>
      </c>
      <c r="D153" s="132" t="s">
        <v>93</v>
      </c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</row>
    <row r="154" spans="1:21" ht="14.25">
      <c r="A154" s="535"/>
      <c r="B154" s="134" t="s">
        <v>94</v>
      </c>
      <c r="C154" s="135" t="s">
        <v>180</v>
      </c>
      <c r="D154" s="131">
        <v>114</v>
      </c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</row>
    <row r="155" spans="1:21" ht="12.75">
      <c r="A155" s="535"/>
      <c r="B155" s="136" t="s">
        <v>294</v>
      </c>
      <c r="C155" s="137" t="s">
        <v>92</v>
      </c>
      <c r="D155" s="242">
        <v>159</v>
      </c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</row>
    <row r="156" spans="1:21" ht="12.75">
      <c r="A156" s="535"/>
      <c r="B156" s="136" t="s">
        <v>295</v>
      </c>
      <c r="C156" s="137" t="s">
        <v>92</v>
      </c>
      <c r="D156" s="131">
        <v>176</v>
      </c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</row>
    <row r="157" spans="1:21" ht="12.75">
      <c r="A157" s="535"/>
      <c r="B157" s="136" t="s">
        <v>96</v>
      </c>
      <c r="C157" s="137" t="s">
        <v>92</v>
      </c>
      <c r="D157" s="131">
        <v>80</v>
      </c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</row>
    <row r="158" spans="1:21" ht="12.75">
      <c r="A158" s="535"/>
      <c r="B158" s="136" t="s">
        <v>97</v>
      </c>
      <c r="C158" s="137" t="s">
        <v>92</v>
      </c>
      <c r="D158" s="131">
        <v>126</v>
      </c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</row>
    <row r="159" spans="2:21" ht="12.75">
      <c r="B159" s="244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</row>
    <row r="160" spans="2:21" ht="12.75"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44"/>
      <c r="O160" s="244"/>
      <c r="P160" s="244"/>
      <c r="Q160" s="244"/>
      <c r="R160" s="244"/>
      <c r="S160" s="244"/>
      <c r="T160" s="244"/>
      <c r="U160" s="244"/>
    </row>
    <row r="161" spans="2:21" ht="12.75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</row>
    <row r="162" spans="1:21" ht="15.75">
      <c r="A162" s="535"/>
      <c r="B162" s="97" t="s">
        <v>441</v>
      </c>
      <c r="C162" s="38"/>
      <c r="D162" s="138"/>
      <c r="E162" s="138"/>
      <c r="F162" s="138"/>
      <c r="G162" s="138"/>
      <c r="H162" s="138"/>
      <c r="I162" s="138"/>
      <c r="J162" s="138"/>
      <c r="K162" s="138"/>
      <c r="L162" s="138"/>
      <c r="M162" s="38"/>
      <c r="N162" s="38"/>
      <c r="O162" s="38"/>
      <c r="P162" s="38"/>
      <c r="Q162" s="38"/>
      <c r="R162" s="38"/>
      <c r="S162" s="38"/>
      <c r="T162" s="38"/>
      <c r="U162" s="244"/>
    </row>
    <row r="163" spans="1:21" ht="12.75">
      <c r="A163" s="535"/>
      <c r="B163" s="138"/>
      <c r="C163" s="138"/>
      <c r="D163" s="98"/>
      <c r="E163" s="98"/>
      <c r="F163" s="98"/>
      <c r="G163" s="98"/>
      <c r="H163" s="98"/>
      <c r="I163" s="98"/>
      <c r="J163" s="98"/>
      <c r="K163" s="98"/>
      <c r="L163" s="98"/>
      <c r="M163" s="38"/>
      <c r="N163" s="38"/>
      <c r="O163" s="38"/>
      <c r="P163" s="38"/>
      <c r="Q163" s="38"/>
      <c r="R163" s="38"/>
      <c r="S163" s="38"/>
      <c r="T163" s="38"/>
      <c r="U163" s="244"/>
    </row>
    <row r="164" spans="1:21" ht="12.75">
      <c r="A164" s="535"/>
      <c r="B164" s="169" t="s">
        <v>6</v>
      </c>
      <c r="C164" s="169" t="s">
        <v>3</v>
      </c>
      <c r="D164" s="168" t="s">
        <v>4</v>
      </c>
      <c r="E164" s="169" t="s">
        <v>7</v>
      </c>
      <c r="F164" s="169" t="s">
        <v>49</v>
      </c>
      <c r="G164" s="168" t="s">
        <v>1</v>
      </c>
      <c r="H164" s="169" t="s">
        <v>2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244"/>
    </row>
    <row r="165" spans="1:21" ht="12.75">
      <c r="A165" s="535"/>
      <c r="B165" s="201"/>
      <c r="C165" s="201"/>
      <c r="D165" s="91"/>
      <c r="E165" s="201" t="s">
        <v>86</v>
      </c>
      <c r="F165" s="201" t="s">
        <v>51</v>
      </c>
      <c r="G165" s="224" t="s">
        <v>274</v>
      </c>
      <c r="H165" s="225" t="s">
        <v>275</v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244"/>
    </row>
    <row r="166" spans="1:21" ht="12.75">
      <c r="A166" s="535"/>
      <c r="B166" s="198" t="s">
        <v>11</v>
      </c>
      <c r="C166" s="140" t="s">
        <v>9</v>
      </c>
      <c r="D166" s="199" t="s">
        <v>10</v>
      </c>
      <c r="E166" s="155" t="s">
        <v>12</v>
      </c>
      <c r="F166" s="139" t="s">
        <v>63</v>
      </c>
      <c r="G166" s="171">
        <v>0.3</v>
      </c>
      <c r="H166" s="171">
        <v>0.41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44"/>
    </row>
    <row r="167" spans="1:21" ht="12.75">
      <c r="A167" s="535"/>
      <c r="B167" s="148"/>
      <c r="C167" s="147"/>
      <c r="D167" s="152"/>
      <c r="E167" s="157"/>
      <c r="F167" s="139" t="s">
        <v>87</v>
      </c>
      <c r="G167" s="171">
        <v>0.2</v>
      </c>
      <c r="H167" s="171">
        <v>0.3</v>
      </c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244"/>
    </row>
    <row r="168" spans="1:21" ht="12.75">
      <c r="A168" s="535"/>
      <c r="B168" s="148"/>
      <c r="C168" s="147"/>
      <c r="D168" s="152"/>
      <c r="E168" s="157"/>
      <c r="F168" s="139" t="s">
        <v>270</v>
      </c>
      <c r="G168" s="171">
        <v>0.2</v>
      </c>
      <c r="H168" s="237">
        <v>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244"/>
    </row>
    <row r="169" spans="1:21" ht="12.75">
      <c r="A169" s="535"/>
      <c r="B169" s="148"/>
      <c r="C169" s="147"/>
      <c r="D169" s="152"/>
      <c r="E169" s="157"/>
      <c r="F169" s="139" t="s">
        <v>88</v>
      </c>
      <c r="G169" s="171">
        <v>0.2</v>
      </c>
      <c r="H169" s="171">
        <v>0.3</v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244"/>
    </row>
    <row r="170" spans="1:21" ht="12.75">
      <c r="A170" s="535"/>
      <c r="B170" s="148"/>
      <c r="C170" s="147"/>
      <c r="D170" s="152"/>
      <c r="E170" s="157"/>
      <c r="F170" s="139" t="s">
        <v>271</v>
      </c>
      <c r="G170" s="171">
        <v>0.24</v>
      </c>
      <c r="H170" s="237">
        <v>0</v>
      </c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244"/>
    </row>
    <row r="171" spans="1:21" ht="12.75">
      <c r="A171" s="535"/>
      <c r="B171" s="148"/>
      <c r="C171" s="147"/>
      <c r="D171" s="149"/>
      <c r="E171" s="220"/>
      <c r="F171" s="139" t="s">
        <v>56</v>
      </c>
      <c r="G171" s="171">
        <v>0.07</v>
      </c>
      <c r="H171" s="171">
        <v>0.17</v>
      </c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244"/>
    </row>
    <row r="172" spans="1:21" ht="12.75">
      <c r="A172" s="535"/>
      <c r="B172" s="148"/>
      <c r="C172" s="147"/>
      <c r="D172" s="199" t="s">
        <v>14</v>
      </c>
      <c r="E172" s="155" t="s">
        <v>15</v>
      </c>
      <c r="F172" s="139" t="s">
        <v>63</v>
      </c>
      <c r="G172" s="171">
        <v>0.34</v>
      </c>
      <c r="H172" s="171">
        <v>0.41</v>
      </c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244"/>
    </row>
    <row r="173" spans="1:21" ht="12.75">
      <c r="A173" s="535"/>
      <c r="B173" s="148"/>
      <c r="C173" s="147"/>
      <c r="D173" s="152"/>
      <c r="E173" s="157"/>
      <c r="F173" s="139" t="s">
        <v>87</v>
      </c>
      <c r="G173" s="171">
        <v>0.2</v>
      </c>
      <c r="H173" s="171">
        <v>0.3</v>
      </c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244"/>
    </row>
    <row r="174" spans="1:21" ht="12.75">
      <c r="A174" s="535"/>
      <c r="B174" s="148"/>
      <c r="C174" s="147"/>
      <c r="D174" s="152"/>
      <c r="E174" s="157"/>
      <c r="F174" s="139" t="s">
        <v>88</v>
      </c>
      <c r="G174" s="171">
        <v>0.2</v>
      </c>
      <c r="H174" s="171">
        <v>0.3</v>
      </c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244"/>
    </row>
    <row r="175" spans="1:21" ht="12.75">
      <c r="A175" s="535"/>
      <c r="B175" s="148"/>
      <c r="C175" s="147"/>
      <c r="D175" s="152"/>
      <c r="E175" s="157"/>
      <c r="F175" s="202" t="s">
        <v>56</v>
      </c>
      <c r="G175" s="234">
        <v>0.07</v>
      </c>
      <c r="H175" s="234">
        <v>0.17</v>
      </c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244"/>
    </row>
    <row r="176" spans="1:21" ht="12.75">
      <c r="A176" s="535"/>
      <c r="B176" s="198" t="s">
        <v>18</v>
      </c>
      <c r="C176" s="198" t="s">
        <v>16</v>
      </c>
      <c r="D176" s="90" t="s">
        <v>17</v>
      </c>
      <c r="E176" s="155" t="s">
        <v>19</v>
      </c>
      <c r="F176" s="139" t="s">
        <v>63</v>
      </c>
      <c r="G176" s="171">
        <v>0.61</v>
      </c>
      <c r="H176" s="171">
        <v>0.71</v>
      </c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244"/>
    </row>
    <row r="177" spans="1:21" ht="12.75">
      <c r="A177" s="535"/>
      <c r="B177" s="148"/>
      <c r="C177" s="148"/>
      <c r="D177" s="150"/>
      <c r="E177" s="157"/>
      <c r="F177" s="139" t="s">
        <v>60</v>
      </c>
      <c r="G177" s="171">
        <v>0.44</v>
      </c>
      <c r="H177" s="171">
        <v>0.54</v>
      </c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244"/>
    </row>
    <row r="178" spans="1:21" ht="12.75">
      <c r="A178" s="535"/>
      <c r="B178" s="148"/>
      <c r="C178" s="148"/>
      <c r="D178" s="150"/>
      <c r="E178" s="157"/>
      <c r="F178" s="139" t="s">
        <v>56</v>
      </c>
      <c r="G178" s="171">
        <v>0.14</v>
      </c>
      <c r="H178" s="171">
        <v>0.2</v>
      </c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244"/>
    </row>
    <row r="179" spans="1:21" ht="12.75">
      <c r="A179" s="535"/>
      <c r="B179" s="148"/>
      <c r="C179" s="148"/>
      <c r="D179" s="150"/>
      <c r="E179" s="157"/>
      <c r="F179" s="139" t="s">
        <v>272</v>
      </c>
      <c r="G179" s="171">
        <v>0.74</v>
      </c>
      <c r="H179" s="171">
        <v>0.84</v>
      </c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244"/>
    </row>
    <row r="180" spans="1:21" ht="12.75">
      <c r="A180" s="535"/>
      <c r="B180" s="148"/>
      <c r="C180" s="148"/>
      <c r="D180" s="200" t="s">
        <v>21</v>
      </c>
      <c r="E180" s="221" t="s">
        <v>22</v>
      </c>
      <c r="F180" s="139" t="s">
        <v>63</v>
      </c>
      <c r="G180" s="171">
        <v>0.61</v>
      </c>
      <c r="H180" s="171">
        <v>0.71</v>
      </c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244"/>
    </row>
    <row r="181" spans="1:21" ht="12.75">
      <c r="A181" s="535"/>
      <c r="B181" s="148"/>
      <c r="C181" s="148"/>
      <c r="D181" s="150"/>
      <c r="E181" s="157"/>
      <c r="F181" s="139" t="s">
        <v>60</v>
      </c>
      <c r="G181" s="171">
        <v>0.44</v>
      </c>
      <c r="H181" s="171">
        <v>0.54</v>
      </c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244"/>
    </row>
    <row r="182" spans="1:20" ht="12.75">
      <c r="A182" s="535"/>
      <c r="B182" s="148"/>
      <c r="C182" s="148"/>
      <c r="D182" s="150"/>
      <c r="E182" s="157"/>
      <c r="F182" s="139" t="s">
        <v>56</v>
      </c>
      <c r="G182" s="171">
        <v>0.14</v>
      </c>
      <c r="H182" s="171">
        <v>0.2</v>
      </c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1:20" ht="12.75">
      <c r="A183" s="535"/>
      <c r="B183" s="148"/>
      <c r="C183" s="148"/>
      <c r="D183" s="150"/>
      <c r="E183" s="157"/>
      <c r="F183" s="139" t="s">
        <v>272</v>
      </c>
      <c r="G183" s="171">
        <v>0.78</v>
      </c>
      <c r="H183" s="171">
        <v>0.88</v>
      </c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ht="12.75">
      <c r="A184" s="535"/>
      <c r="B184" s="148"/>
      <c r="C184" s="156" t="s">
        <v>23</v>
      </c>
      <c r="D184" s="135" t="s">
        <v>24</v>
      </c>
      <c r="E184" s="93" t="s">
        <v>25</v>
      </c>
      <c r="F184" s="139" t="s">
        <v>273</v>
      </c>
      <c r="G184" s="158">
        <v>0.95</v>
      </c>
      <c r="H184" s="171">
        <v>1.12</v>
      </c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1:20" ht="12.75">
      <c r="A185" s="535"/>
      <c r="B185" s="148"/>
      <c r="C185" s="148" t="s">
        <v>26</v>
      </c>
      <c r="D185" s="152" t="s">
        <v>27</v>
      </c>
      <c r="E185" s="157" t="s">
        <v>28</v>
      </c>
      <c r="F185" s="139" t="s">
        <v>272</v>
      </c>
      <c r="G185" s="233">
        <v>1.01</v>
      </c>
      <c r="H185" s="233">
        <v>1.32</v>
      </c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1:20" ht="12.75">
      <c r="A186" s="535"/>
      <c r="B186" s="148"/>
      <c r="C186" s="148"/>
      <c r="D186" s="151" t="s">
        <v>29</v>
      </c>
      <c r="E186" s="221" t="s">
        <v>30</v>
      </c>
      <c r="F186" s="139" t="s">
        <v>272</v>
      </c>
      <c r="G186" s="238">
        <v>0</v>
      </c>
      <c r="H186" s="171">
        <v>1.82</v>
      </c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ht="12.75">
      <c r="A187" s="535"/>
      <c r="B187" s="148"/>
      <c r="C187" s="148"/>
      <c r="D187" s="151" t="s">
        <v>31</v>
      </c>
      <c r="E187" s="221" t="s">
        <v>32</v>
      </c>
      <c r="F187" s="139" t="s">
        <v>272</v>
      </c>
      <c r="G187" s="239">
        <v>0</v>
      </c>
      <c r="H187" s="171">
        <v>2.37</v>
      </c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1:20" ht="12.75">
      <c r="A188" s="535"/>
      <c r="B188" s="170"/>
      <c r="C188" s="170"/>
      <c r="D188" s="222" t="s">
        <v>33</v>
      </c>
      <c r="E188" s="223" t="s">
        <v>34</v>
      </c>
      <c r="F188" s="139" t="s">
        <v>272</v>
      </c>
      <c r="G188" s="240">
        <v>0</v>
      </c>
      <c r="H188" s="171">
        <v>2.57</v>
      </c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1:20" ht="12.75">
      <c r="A189" s="535"/>
      <c r="B189" s="1" t="s">
        <v>432</v>
      </c>
      <c r="C189" s="138"/>
      <c r="D189" s="138"/>
      <c r="E189" s="138"/>
      <c r="F189" s="98"/>
      <c r="G189" s="98"/>
      <c r="H189" s="98"/>
      <c r="I189" s="98"/>
      <c r="J189" s="98"/>
      <c r="K189" s="98"/>
      <c r="L189" s="98"/>
      <c r="M189" s="38"/>
      <c r="N189" s="38"/>
      <c r="O189" s="38"/>
      <c r="P189" s="38"/>
      <c r="Q189" s="38"/>
      <c r="R189" s="38"/>
      <c r="S189" s="38"/>
      <c r="T189" s="38"/>
    </row>
    <row r="190" spans="1:20" ht="12.75">
      <c r="A190" s="535"/>
      <c r="B190" s="38" t="s">
        <v>277</v>
      </c>
      <c r="C190" s="38"/>
      <c r="D190" s="38"/>
      <c r="E190" s="38"/>
      <c r="F190" s="38"/>
      <c r="G190" s="38"/>
      <c r="H190" s="38"/>
      <c r="I190" s="38"/>
      <c r="J190" s="38"/>
      <c r="K190" s="98"/>
      <c r="L190" s="98"/>
      <c r="M190" s="38"/>
      <c r="N190" s="38"/>
      <c r="O190" s="38"/>
      <c r="P190" s="38"/>
      <c r="Q190" s="38"/>
      <c r="R190" s="38"/>
      <c r="S190" s="38"/>
      <c r="T190" s="38"/>
    </row>
    <row r="191" spans="1:20" ht="12.75">
      <c r="A191" s="535"/>
      <c r="B191" s="98" t="s">
        <v>278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38"/>
      <c r="N191" s="38"/>
      <c r="O191" s="38"/>
      <c r="P191" s="38"/>
      <c r="Q191" s="38"/>
      <c r="R191" s="38"/>
      <c r="S191" s="38"/>
      <c r="T191" s="38"/>
    </row>
    <row r="192" spans="2:20" ht="12.75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38"/>
      <c r="N192" s="38"/>
      <c r="O192" s="38"/>
      <c r="P192" s="38"/>
      <c r="Q192" s="38"/>
      <c r="R192" s="38"/>
      <c r="S192" s="38"/>
      <c r="T192" s="38"/>
    </row>
    <row r="193" spans="2:20" ht="12.75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38"/>
      <c r="N193" s="38"/>
      <c r="O193" s="38"/>
      <c r="P193" s="38"/>
      <c r="Q193" s="38"/>
      <c r="R193" s="38"/>
      <c r="S193" s="38"/>
      <c r="T193" s="38"/>
    </row>
    <row r="194" spans="1:20" ht="15.75">
      <c r="A194" s="535"/>
      <c r="B194" s="97" t="s">
        <v>442</v>
      </c>
      <c r="C194" s="38"/>
      <c r="D194" s="98"/>
      <c r="E194" s="98"/>
      <c r="F194" s="98"/>
      <c r="G194" s="98"/>
      <c r="H194" s="98"/>
      <c r="I194" s="98"/>
      <c r="J194" s="98"/>
      <c r="K194" s="98"/>
      <c r="L194" s="98"/>
      <c r="M194" s="38"/>
      <c r="N194" s="38"/>
      <c r="O194" s="38"/>
      <c r="P194" s="38"/>
      <c r="Q194" s="38"/>
      <c r="R194" s="38"/>
      <c r="S194" s="38"/>
      <c r="T194" s="38"/>
    </row>
    <row r="195" spans="1:20" ht="12.75">
      <c r="A195" s="535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38"/>
      <c r="N195" s="38"/>
      <c r="O195" s="38"/>
      <c r="P195" s="38"/>
      <c r="Q195" s="38"/>
      <c r="R195" s="38"/>
      <c r="S195" s="38"/>
      <c r="T195" s="38"/>
    </row>
    <row r="196" spans="1:20" ht="12.75">
      <c r="A196" s="535"/>
      <c r="B196" s="169" t="s">
        <v>6</v>
      </c>
      <c r="C196" s="169" t="s">
        <v>3</v>
      </c>
      <c r="D196" s="169" t="s">
        <v>4</v>
      </c>
      <c r="E196" s="169" t="s">
        <v>7</v>
      </c>
      <c r="F196" s="169" t="s">
        <v>49</v>
      </c>
      <c r="G196" s="169" t="s">
        <v>296</v>
      </c>
      <c r="H196" s="98"/>
      <c r="I196" s="98"/>
      <c r="J196" s="138"/>
      <c r="K196" s="98"/>
      <c r="L196" s="98"/>
      <c r="M196" s="38"/>
      <c r="N196" s="38"/>
      <c r="O196" s="38"/>
      <c r="P196" s="38"/>
      <c r="Q196" s="38"/>
      <c r="R196" s="38"/>
      <c r="S196" s="38"/>
      <c r="T196" s="38"/>
    </row>
    <row r="197" spans="1:20" ht="12.75">
      <c r="A197" s="535"/>
      <c r="B197" s="201"/>
      <c r="C197" s="201"/>
      <c r="D197" s="201"/>
      <c r="E197" s="201" t="s">
        <v>86</v>
      </c>
      <c r="F197" s="201" t="s">
        <v>304</v>
      </c>
      <c r="G197" s="201"/>
      <c r="H197" s="98"/>
      <c r="I197" s="98"/>
      <c r="J197" s="138"/>
      <c r="K197" s="98"/>
      <c r="L197" s="98"/>
      <c r="M197" s="38"/>
      <c r="N197" s="38"/>
      <c r="O197" s="38"/>
      <c r="P197" s="38"/>
      <c r="Q197" s="38"/>
      <c r="R197" s="38"/>
      <c r="S197" s="38"/>
      <c r="T197" s="38"/>
    </row>
    <row r="198" spans="1:20" ht="12.75">
      <c r="A198" s="535"/>
      <c r="B198" s="198" t="s">
        <v>11</v>
      </c>
      <c r="C198" s="198" t="s">
        <v>9</v>
      </c>
      <c r="D198" s="198" t="s">
        <v>10</v>
      </c>
      <c r="E198" s="155" t="s">
        <v>12</v>
      </c>
      <c r="F198" s="141" t="s">
        <v>87</v>
      </c>
      <c r="G198" s="145">
        <v>0.24</v>
      </c>
      <c r="H198" s="98"/>
      <c r="I198" s="98"/>
      <c r="J198" s="138"/>
      <c r="K198" s="98"/>
      <c r="L198" s="98"/>
      <c r="M198" s="38"/>
      <c r="N198" s="38"/>
      <c r="O198" s="38"/>
      <c r="P198" s="38"/>
      <c r="Q198" s="38"/>
      <c r="R198" s="38"/>
      <c r="S198" s="38"/>
      <c r="T198" s="38"/>
    </row>
    <row r="199" spans="1:20" ht="12.75">
      <c r="A199" s="535"/>
      <c r="B199" s="143"/>
      <c r="C199" s="143"/>
      <c r="D199" s="142"/>
      <c r="E199" s="142"/>
      <c r="F199" s="141" t="s">
        <v>88</v>
      </c>
      <c r="G199" s="145">
        <v>0.27</v>
      </c>
      <c r="H199" s="98"/>
      <c r="I199" s="98"/>
      <c r="J199" s="138"/>
      <c r="K199" s="98"/>
      <c r="L199" s="98"/>
      <c r="M199" s="38"/>
      <c r="N199" s="38"/>
      <c r="O199" s="38"/>
      <c r="P199" s="38"/>
      <c r="Q199" s="38"/>
      <c r="R199" s="38"/>
      <c r="S199" s="38"/>
      <c r="T199" s="38"/>
    </row>
    <row r="200" spans="1:20" ht="12.75">
      <c r="A200" s="535"/>
      <c r="B200" s="148"/>
      <c r="C200" s="148"/>
      <c r="D200" s="198" t="s">
        <v>14</v>
      </c>
      <c r="E200" s="155" t="s">
        <v>15</v>
      </c>
      <c r="F200" s="141" t="s">
        <v>87</v>
      </c>
      <c r="G200" s="145">
        <v>0.27</v>
      </c>
      <c r="H200" s="98"/>
      <c r="I200" s="98"/>
      <c r="J200" s="138"/>
      <c r="K200" s="138"/>
      <c r="L200" s="138"/>
      <c r="M200" s="38"/>
      <c r="N200" s="38"/>
      <c r="O200" s="38"/>
      <c r="P200" s="38"/>
      <c r="Q200" s="38"/>
      <c r="R200" s="38"/>
      <c r="S200" s="38"/>
      <c r="T200" s="38"/>
    </row>
    <row r="201" spans="1:20" ht="12.75">
      <c r="A201" s="535"/>
      <c r="B201" s="142"/>
      <c r="C201" s="142"/>
      <c r="D201" s="142"/>
      <c r="E201" s="154"/>
      <c r="F201" s="141" t="s">
        <v>88</v>
      </c>
      <c r="G201" s="145">
        <v>0.27</v>
      </c>
      <c r="H201" s="98"/>
      <c r="I201" s="98"/>
      <c r="J201" s="138"/>
      <c r="K201" s="138"/>
      <c r="L201" s="138"/>
      <c r="M201" s="38"/>
      <c r="N201" s="38"/>
      <c r="O201" s="38"/>
      <c r="P201" s="38"/>
      <c r="Q201" s="38"/>
      <c r="R201" s="38"/>
      <c r="S201" s="38"/>
      <c r="T201" s="38"/>
    </row>
    <row r="202" spans="1:20" ht="12.75">
      <c r="A202" s="535"/>
      <c r="B202" s="198" t="s">
        <v>18</v>
      </c>
      <c r="C202" s="198" t="s">
        <v>16</v>
      </c>
      <c r="D202" s="156" t="s">
        <v>17</v>
      </c>
      <c r="E202" s="144" t="s">
        <v>19</v>
      </c>
      <c r="F202" s="156" t="s">
        <v>60</v>
      </c>
      <c r="G202" s="145">
        <v>0.47</v>
      </c>
      <c r="H202" s="98"/>
      <c r="I202" s="98"/>
      <c r="J202" s="138"/>
      <c r="K202" s="138"/>
      <c r="L202" s="138"/>
      <c r="M202" s="38"/>
      <c r="N202" s="38"/>
      <c r="O202" s="38"/>
      <c r="P202" s="38"/>
      <c r="Q202" s="38"/>
      <c r="R202" s="38"/>
      <c r="S202" s="38"/>
      <c r="T202" s="38"/>
    </row>
    <row r="203" spans="1:20" ht="12.75">
      <c r="A203" s="535"/>
      <c r="B203" s="170"/>
      <c r="C203" s="170"/>
      <c r="D203" s="156" t="s">
        <v>21</v>
      </c>
      <c r="E203" s="93" t="s">
        <v>22</v>
      </c>
      <c r="F203" s="156" t="s">
        <v>60</v>
      </c>
      <c r="G203" s="145">
        <v>0.51</v>
      </c>
      <c r="H203" s="98"/>
      <c r="I203" s="98"/>
      <c r="J203" s="138"/>
      <c r="K203" s="138"/>
      <c r="L203" s="138"/>
      <c r="M203" s="38"/>
      <c r="N203" s="38"/>
      <c r="O203" s="38"/>
      <c r="P203" s="38"/>
      <c r="Q203" s="38"/>
      <c r="R203" s="38"/>
      <c r="S203" s="38"/>
      <c r="T203" s="38"/>
    </row>
    <row r="204" spans="1:20" ht="12.75">
      <c r="A204" s="535"/>
      <c r="B204" s="241" t="s">
        <v>281</v>
      </c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38"/>
      <c r="N204" s="38"/>
      <c r="O204" s="38"/>
      <c r="P204" s="38"/>
      <c r="Q204" s="38"/>
      <c r="R204" s="38"/>
      <c r="S204" s="38"/>
      <c r="T204" s="38"/>
    </row>
    <row r="205" spans="2:20" ht="12.75"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38"/>
      <c r="N205" s="38"/>
      <c r="O205" s="38"/>
      <c r="P205" s="38"/>
      <c r="Q205" s="38"/>
      <c r="R205" s="38"/>
      <c r="S205" s="38"/>
      <c r="T205" s="38"/>
    </row>
    <row r="206" spans="2:20" ht="12.75"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38"/>
      <c r="N206" s="38"/>
      <c r="O206" s="38"/>
      <c r="P206" s="38"/>
      <c r="Q206" s="38"/>
      <c r="R206" s="38"/>
      <c r="S206" s="38"/>
      <c r="T206" s="38"/>
    </row>
    <row r="207" spans="1:20" ht="15.75">
      <c r="A207" s="535"/>
      <c r="B207" s="97" t="s">
        <v>443</v>
      </c>
      <c r="C207" s="38"/>
      <c r="D207" s="138"/>
      <c r="E207" s="138"/>
      <c r="F207" s="138"/>
      <c r="G207" s="138"/>
      <c r="H207" s="138"/>
      <c r="I207" s="138"/>
      <c r="J207" s="138"/>
      <c r="K207" s="138"/>
      <c r="L207" s="138"/>
      <c r="M207" s="38"/>
      <c r="N207" s="38"/>
      <c r="O207" s="38"/>
      <c r="P207" s="38"/>
      <c r="Q207" s="38"/>
      <c r="R207" s="38"/>
      <c r="S207" s="38"/>
      <c r="T207" s="38"/>
    </row>
    <row r="208" spans="1:20" ht="12.75">
      <c r="A208" s="535"/>
      <c r="B208" s="138"/>
      <c r="C208" s="138"/>
      <c r="D208" s="98"/>
      <c r="E208" s="98"/>
      <c r="F208" s="98"/>
      <c r="G208" s="98"/>
      <c r="H208" s="98"/>
      <c r="I208" s="98"/>
      <c r="J208" s="98"/>
      <c r="K208" s="98"/>
      <c r="L208" s="98"/>
      <c r="M208" s="38"/>
      <c r="N208" s="38"/>
      <c r="O208" s="38"/>
      <c r="P208" s="38"/>
      <c r="Q208" s="38"/>
      <c r="R208" s="38"/>
      <c r="S208" s="38"/>
      <c r="T208" s="38"/>
    </row>
    <row r="209" spans="1:20" ht="12.75">
      <c r="A209" s="535"/>
      <c r="B209" s="169" t="s">
        <v>6</v>
      </c>
      <c r="C209" s="169" t="s">
        <v>3</v>
      </c>
      <c r="D209" s="168" t="s">
        <v>4</v>
      </c>
      <c r="E209" s="169" t="s">
        <v>7</v>
      </c>
      <c r="F209" s="169" t="s">
        <v>49</v>
      </c>
      <c r="G209" s="168" t="s">
        <v>1</v>
      </c>
      <c r="H209" s="169" t="s">
        <v>2</v>
      </c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ht="12.75">
      <c r="A210" s="535"/>
      <c r="B210" s="201"/>
      <c r="C210" s="201"/>
      <c r="D210" s="91"/>
      <c r="E210" s="201" t="s">
        <v>86</v>
      </c>
      <c r="F210" s="201" t="s">
        <v>304</v>
      </c>
      <c r="G210" s="227" t="s">
        <v>280</v>
      </c>
      <c r="H210" s="228" t="s">
        <v>285</v>
      </c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ht="12.75">
      <c r="A211" s="535"/>
      <c r="B211" s="198" t="s">
        <v>18</v>
      </c>
      <c r="C211" s="198" t="s">
        <v>16</v>
      </c>
      <c r="D211" s="90" t="s">
        <v>17</v>
      </c>
      <c r="E211" s="155" t="s">
        <v>19</v>
      </c>
      <c r="F211" s="139" t="s">
        <v>63</v>
      </c>
      <c r="G211" s="171">
        <v>0.61</v>
      </c>
      <c r="H211" s="171">
        <v>0.71</v>
      </c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1:20" ht="12.75">
      <c r="A212" s="535"/>
      <c r="B212" s="148"/>
      <c r="C212" s="148"/>
      <c r="D212" s="150"/>
      <c r="E212" s="157"/>
      <c r="F212" s="139" t="s">
        <v>60</v>
      </c>
      <c r="G212" s="171">
        <v>0.44</v>
      </c>
      <c r="H212" s="171">
        <v>0.57</v>
      </c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ht="12.75">
      <c r="A213" s="535"/>
      <c r="B213" s="148"/>
      <c r="C213" s="148"/>
      <c r="D213" s="150"/>
      <c r="E213" s="157"/>
      <c r="F213" s="139" t="s">
        <v>56</v>
      </c>
      <c r="G213" s="171">
        <v>0.14</v>
      </c>
      <c r="H213" s="171">
        <v>0.24</v>
      </c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1:20" ht="12.75">
      <c r="A214" s="535"/>
      <c r="B214" s="148"/>
      <c r="C214" s="148"/>
      <c r="D214" s="150"/>
      <c r="E214" s="157"/>
      <c r="F214" s="139" t="s">
        <v>272</v>
      </c>
      <c r="G214" s="171">
        <v>0.74</v>
      </c>
      <c r="H214" s="171">
        <v>0.84</v>
      </c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1:20" ht="12.75">
      <c r="A215" s="535"/>
      <c r="B215" s="148"/>
      <c r="C215" s="148"/>
      <c r="D215" s="200" t="s">
        <v>21</v>
      </c>
      <c r="E215" s="221" t="s">
        <v>22</v>
      </c>
      <c r="F215" s="139" t="s">
        <v>63</v>
      </c>
      <c r="G215" s="171">
        <v>0.61</v>
      </c>
      <c r="H215" s="171">
        <v>0.71</v>
      </c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1:20" ht="12.75">
      <c r="A216" s="535"/>
      <c r="B216" s="148"/>
      <c r="C216" s="148"/>
      <c r="D216" s="150"/>
      <c r="E216" s="157"/>
      <c r="F216" s="139" t="s">
        <v>60</v>
      </c>
      <c r="G216" s="171">
        <v>0.44</v>
      </c>
      <c r="H216" s="171">
        <v>0.57</v>
      </c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1:20" ht="12.75">
      <c r="A217" s="535"/>
      <c r="B217" s="148"/>
      <c r="C217" s="148"/>
      <c r="D217" s="150"/>
      <c r="E217" s="157"/>
      <c r="F217" s="139" t="s">
        <v>56</v>
      </c>
      <c r="G217" s="171">
        <v>0.14</v>
      </c>
      <c r="H217" s="171">
        <v>0.24</v>
      </c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1:20" ht="12.75">
      <c r="A218" s="535"/>
      <c r="B218" s="148"/>
      <c r="C218" s="148"/>
      <c r="D218" s="150"/>
      <c r="E218" s="157"/>
      <c r="F218" s="139" t="s">
        <v>272</v>
      </c>
      <c r="G218" s="171">
        <v>0.74</v>
      </c>
      <c r="H218" s="171">
        <v>0.84</v>
      </c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1:20" ht="12.75">
      <c r="A219" s="535"/>
      <c r="B219" s="148"/>
      <c r="C219" s="140" t="s">
        <v>23</v>
      </c>
      <c r="D219" s="151" t="s">
        <v>24</v>
      </c>
      <c r="E219" s="221" t="s">
        <v>25</v>
      </c>
      <c r="F219" s="139" t="s">
        <v>273</v>
      </c>
      <c r="G219" s="171">
        <v>0.91</v>
      </c>
      <c r="H219" s="171">
        <v>1.05</v>
      </c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1:20" ht="12.75">
      <c r="A220" s="535"/>
      <c r="B220" s="148"/>
      <c r="C220" s="198" t="s">
        <v>26</v>
      </c>
      <c r="D220" s="151" t="s">
        <v>27</v>
      </c>
      <c r="E220" s="221" t="s">
        <v>28</v>
      </c>
      <c r="F220" s="139" t="s">
        <v>272</v>
      </c>
      <c r="G220" s="171">
        <v>0.98</v>
      </c>
      <c r="H220" s="171">
        <v>1.15</v>
      </c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1:20" ht="12.75">
      <c r="A221" s="535"/>
      <c r="B221" s="148"/>
      <c r="C221" s="148"/>
      <c r="D221" s="151" t="s">
        <v>29</v>
      </c>
      <c r="E221" s="221" t="s">
        <v>30</v>
      </c>
      <c r="F221" s="139" t="s">
        <v>272</v>
      </c>
      <c r="G221" s="237">
        <v>0</v>
      </c>
      <c r="H221" s="171">
        <v>1.49</v>
      </c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1:20" ht="12.75">
      <c r="A222" s="535"/>
      <c r="B222" s="148"/>
      <c r="C222" s="148"/>
      <c r="D222" s="151" t="s">
        <v>31</v>
      </c>
      <c r="E222" s="221" t="s">
        <v>32</v>
      </c>
      <c r="F222" s="139" t="s">
        <v>272</v>
      </c>
      <c r="G222" s="237">
        <v>0</v>
      </c>
      <c r="H222" s="171">
        <v>2.03</v>
      </c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1:20" ht="12.75">
      <c r="A223" s="535"/>
      <c r="B223" s="170"/>
      <c r="C223" s="170"/>
      <c r="D223" s="222" t="s">
        <v>33</v>
      </c>
      <c r="E223" s="223" t="s">
        <v>34</v>
      </c>
      <c r="F223" s="139" t="s">
        <v>272</v>
      </c>
      <c r="G223" s="237">
        <v>0</v>
      </c>
      <c r="H223" s="171">
        <v>2.23</v>
      </c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1:20" ht="12.75">
      <c r="A224" s="535"/>
      <c r="B224" s="226" t="s">
        <v>283</v>
      </c>
      <c r="C224" s="89"/>
      <c r="D224" s="89"/>
      <c r="E224" s="153"/>
      <c r="F224" s="116"/>
      <c r="G224" s="235"/>
      <c r="H224" s="235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1:20" ht="12.75">
      <c r="A225" s="535"/>
      <c r="B225" s="226" t="s">
        <v>284</v>
      </c>
      <c r="C225" s="89"/>
      <c r="D225" s="89"/>
      <c r="E225" s="153"/>
      <c r="F225" s="116"/>
      <c r="G225" s="235"/>
      <c r="H225" s="235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2:20" ht="12.75">
      <c r="B226" s="89"/>
      <c r="C226" s="89"/>
      <c r="D226" s="89"/>
      <c r="E226" s="153"/>
      <c r="F226" s="116"/>
      <c r="G226" s="235"/>
      <c r="H226" s="235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2:20" ht="12.75">
      <c r="B227" s="89"/>
      <c r="C227" s="89"/>
      <c r="D227" s="89"/>
      <c r="E227" s="153"/>
      <c r="F227" s="116"/>
      <c r="G227" s="235"/>
      <c r="H227" s="235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2:20" ht="12.75">
      <c r="B228" s="138"/>
      <c r="C228" s="138"/>
      <c r="D228" s="138"/>
      <c r="E228" s="138"/>
      <c r="F228" s="98"/>
      <c r="G228" s="98"/>
      <c r="H228" s="98"/>
      <c r="I228" s="98"/>
      <c r="J228" s="98"/>
      <c r="K228" s="98"/>
      <c r="L228" s="98"/>
      <c r="M228" s="38"/>
      <c r="N228" s="38"/>
      <c r="O228" s="38"/>
      <c r="P228" s="38"/>
      <c r="Q228" s="38"/>
      <c r="R228" s="38"/>
      <c r="S228" s="38"/>
      <c r="T228" s="38"/>
    </row>
    <row r="229" spans="1:20" ht="15.75">
      <c r="A229" s="535"/>
      <c r="B229" s="97" t="s">
        <v>444</v>
      </c>
      <c r="C229" s="38"/>
      <c r="D229" s="98"/>
      <c r="E229" s="98"/>
      <c r="F229" s="98"/>
      <c r="G229" s="98"/>
      <c r="H229" s="98"/>
      <c r="I229" s="98"/>
      <c r="J229" s="98"/>
      <c r="K229" s="98"/>
      <c r="L229" s="98"/>
      <c r="M229" s="38"/>
      <c r="N229" s="38"/>
      <c r="O229" s="38"/>
      <c r="P229" s="38"/>
      <c r="Q229" s="38"/>
      <c r="R229" s="38"/>
      <c r="S229" s="38"/>
      <c r="T229" s="38"/>
    </row>
    <row r="230" spans="1:20" ht="12.75">
      <c r="A230" s="535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38"/>
      <c r="N230" s="38"/>
      <c r="O230" s="38"/>
      <c r="P230" s="38"/>
      <c r="Q230" s="38"/>
      <c r="R230" s="38"/>
      <c r="S230" s="38"/>
      <c r="T230" s="38"/>
    </row>
    <row r="231" spans="1:20" ht="12.75">
      <c r="A231" s="535"/>
      <c r="B231" s="98"/>
      <c r="C231" s="98"/>
      <c r="D231" s="98"/>
      <c r="E231" s="98"/>
      <c r="F231" s="98"/>
      <c r="G231" s="98"/>
      <c r="H231" s="98"/>
      <c r="I231" s="98"/>
      <c r="J231" s="138"/>
      <c r="K231" s="98"/>
      <c r="L231" s="98"/>
      <c r="M231" s="38"/>
      <c r="N231" s="38"/>
      <c r="O231" s="38"/>
      <c r="P231" s="38"/>
      <c r="Q231" s="38"/>
      <c r="R231" s="38"/>
      <c r="S231" s="38"/>
      <c r="T231" s="38"/>
    </row>
    <row r="232" spans="1:20" ht="12.75">
      <c r="A232" s="535"/>
      <c r="B232" s="169" t="s">
        <v>6</v>
      </c>
      <c r="C232" s="169" t="s">
        <v>3</v>
      </c>
      <c r="D232" s="169" t="s">
        <v>4</v>
      </c>
      <c r="E232" s="169" t="s">
        <v>7</v>
      </c>
      <c r="F232" s="169" t="s">
        <v>49</v>
      </c>
      <c r="G232" s="169" t="s">
        <v>296</v>
      </c>
      <c r="H232" s="98"/>
      <c r="I232" s="98"/>
      <c r="J232" s="138"/>
      <c r="K232" s="98"/>
      <c r="L232" s="98"/>
      <c r="M232" s="38"/>
      <c r="N232" s="38"/>
      <c r="O232" s="38"/>
      <c r="P232" s="38"/>
      <c r="Q232" s="38"/>
      <c r="R232" s="38"/>
      <c r="S232" s="38"/>
      <c r="T232" s="38"/>
    </row>
    <row r="233" spans="1:20" ht="12.75">
      <c r="A233" s="535"/>
      <c r="B233" s="201"/>
      <c r="C233" s="201"/>
      <c r="D233" s="201"/>
      <c r="E233" s="201" t="s">
        <v>86</v>
      </c>
      <c r="F233" s="201" t="s">
        <v>304</v>
      </c>
      <c r="G233" s="201"/>
      <c r="H233" s="98"/>
      <c r="I233" s="98"/>
      <c r="J233" s="138"/>
      <c r="K233" s="98"/>
      <c r="L233" s="98"/>
      <c r="M233" s="38"/>
      <c r="N233" s="38"/>
      <c r="O233" s="38"/>
      <c r="P233" s="38"/>
      <c r="Q233" s="38"/>
      <c r="R233" s="38"/>
      <c r="S233" s="38"/>
      <c r="T233" s="38"/>
    </row>
    <row r="234" spans="1:20" ht="12.75">
      <c r="A234" s="535"/>
      <c r="B234" s="198" t="s">
        <v>18</v>
      </c>
      <c r="C234" s="198" t="s">
        <v>16</v>
      </c>
      <c r="D234" s="156" t="s">
        <v>17</v>
      </c>
      <c r="E234" s="144" t="s">
        <v>19</v>
      </c>
      <c r="F234" s="156" t="s">
        <v>60</v>
      </c>
      <c r="G234" s="145">
        <v>0.47</v>
      </c>
      <c r="H234" s="98"/>
      <c r="I234" s="98"/>
      <c r="J234" s="138"/>
      <c r="K234" s="98"/>
      <c r="L234" s="98"/>
      <c r="M234" s="38"/>
      <c r="N234" s="38"/>
      <c r="O234" s="38"/>
      <c r="P234" s="38"/>
      <c r="Q234" s="38"/>
      <c r="R234" s="38"/>
      <c r="S234" s="38"/>
      <c r="T234" s="38"/>
    </row>
    <row r="235" spans="1:20" ht="12.75">
      <c r="A235" s="535"/>
      <c r="B235" s="170"/>
      <c r="C235" s="170"/>
      <c r="D235" s="156" t="s">
        <v>21</v>
      </c>
      <c r="E235" s="93" t="s">
        <v>22</v>
      </c>
      <c r="F235" s="156" t="s">
        <v>60</v>
      </c>
      <c r="G235" s="145">
        <v>0.51</v>
      </c>
      <c r="H235" s="98"/>
      <c r="I235" s="98"/>
      <c r="J235" s="138"/>
      <c r="K235" s="98"/>
      <c r="L235" s="98"/>
      <c r="M235" s="38"/>
      <c r="N235" s="38"/>
      <c r="O235" s="38"/>
      <c r="P235" s="38"/>
      <c r="Q235" s="38"/>
      <c r="R235" s="38"/>
      <c r="S235" s="38"/>
      <c r="T235" s="38"/>
    </row>
    <row r="236" spans="1:20" ht="12.75">
      <c r="A236" s="535"/>
      <c r="B236" s="38" t="s">
        <v>281</v>
      </c>
      <c r="C236" s="38"/>
      <c r="D236" s="38"/>
      <c r="E236" s="38"/>
      <c r="F236" s="38"/>
      <c r="G236" s="98"/>
      <c r="H236" s="98"/>
      <c r="I236" s="9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2:20" ht="12.75">
      <c r="B237" s="38"/>
      <c r="C237" s="38"/>
      <c r="D237" s="38"/>
      <c r="E237" s="38"/>
      <c r="F237" s="38"/>
      <c r="G237" s="98"/>
      <c r="H237" s="98"/>
      <c r="I237" s="9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2:20" ht="12.7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1:20" ht="15.75">
      <c r="A239" s="535"/>
      <c r="B239" s="97" t="s">
        <v>445</v>
      </c>
      <c r="C239" s="146"/>
      <c r="D239" s="146"/>
      <c r="E239" s="146"/>
      <c r="F239" s="146"/>
      <c r="G239" s="146"/>
      <c r="H239" s="146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1:20" ht="12.75">
      <c r="A240" s="535"/>
      <c r="B240" s="146"/>
      <c r="C240" s="146"/>
      <c r="D240" s="98"/>
      <c r="E240" s="98"/>
      <c r="F240" s="98"/>
      <c r="G240" s="98"/>
      <c r="H240" s="9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1:20" ht="12.75">
      <c r="A241" s="535"/>
      <c r="B241" s="169" t="s">
        <v>6</v>
      </c>
      <c r="C241" s="169" t="s">
        <v>3</v>
      </c>
      <c r="D241" s="168" t="s">
        <v>4</v>
      </c>
      <c r="E241" s="169" t="s">
        <v>7</v>
      </c>
      <c r="F241" s="169" t="s">
        <v>49</v>
      </c>
      <c r="G241" s="168" t="s">
        <v>1</v>
      </c>
      <c r="H241" s="169" t="s">
        <v>2</v>
      </c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1:20" ht="12.75">
      <c r="A242" s="535"/>
      <c r="B242" s="201"/>
      <c r="C242" s="201"/>
      <c r="D242" s="91"/>
      <c r="E242" s="201" t="s">
        <v>86</v>
      </c>
      <c r="F242" s="201" t="s">
        <v>304</v>
      </c>
      <c r="G242" s="224" t="s">
        <v>274</v>
      </c>
      <c r="H242" s="225" t="s">
        <v>275</v>
      </c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1:20" ht="12.75">
      <c r="A243" s="535"/>
      <c r="B243" s="198" t="s">
        <v>11</v>
      </c>
      <c r="C243" s="203" t="s">
        <v>9</v>
      </c>
      <c r="D243" s="199" t="s">
        <v>10</v>
      </c>
      <c r="E243" s="155" t="s">
        <v>12</v>
      </c>
      <c r="F243" s="139" t="s">
        <v>149</v>
      </c>
      <c r="G243" s="171">
        <v>0.84</v>
      </c>
      <c r="H243" s="171">
        <v>0.95</v>
      </c>
      <c r="I243" s="38"/>
      <c r="J243" s="38"/>
      <c r="K243" s="38"/>
      <c r="L243" s="38"/>
      <c r="M243" s="38">
        <f>+IF(J243=G243,0,1)</f>
        <v>1</v>
      </c>
      <c r="N243" s="38">
        <f>+IF(K243=H243,0,1)</f>
        <v>1</v>
      </c>
      <c r="O243" s="38"/>
      <c r="P243" s="38"/>
      <c r="Q243" s="38"/>
      <c r="R243" s="38"/>
      <c r="S243" s="38"/>
      <c r="T243" s="38"/>
    </row>
    <row r="244" spans="1:20" ht="12.75">
      <c r="A244" s="535"/>
      <c r="B244" s="148"/>
      <c r="C244" s="204"/>
      <c r="D244" s="152"/>
      <c r="E244" s="157"/>
      <c r="F244" s="139" t="s">
        <v>288</v>
      </c>
      <c r="G244" s="171">
        <v>0.84</v>
      </c>
      <c r="H244" s="891">
        <v>0</v>
      </c>
      <c r="I244" s="38"/>
      <c r="J244" s="38"/>
      <c r="K244" s="38"/>
      <c r="L244" s="38"/>
      <c r="M244" s="38">
        <f>+IF(J244=G244,0,1)</f>
        <v>1</v>
      </c>
      <c r="N244" s="38">
        <f>+IF(K244=H244,0,1)</f>
        <v>0</v>
      </c>
      <c r="O244" s="38"/>
      <c r="P244" s="38"/>
      <c r="Q244" s="38"/>
      <c r="R244" s="38"/>
      <c r="S244" s="38"/>
      <c r="T244" s="38"/>
    </row>
    <row r="245" spans="1:20" ht="12.75">
      <c r="A245" s="535"/>
      <c r="B245" s="148"/>
      <c r="C245" s="204"/>
      <c r="D245" s="152"/>
      <c r="E245" s="157"/>
      <c r="F245" s="139" t="s">
        <v>150</v>
      </c>
      <c r="G245" s="171">
        <v>1.32</v>
      </c>
      <c r="H245" s="171">
        <v>1.35</v>
      </c>
      <c r="I245" s="38"/>
      <c r="J245" s="38"/>
      <c r="K245" s="38"/>
      <c r="L245" s="38"/>
      <c r="M245" s="38">
        <f>+IF(J245=G245,0,1)</f>
        <v>1</v>
      </c>
      <c r="N245" s="38">
        <f>+IF(K245=H245,0,1)</f>
        <v>1</v>
      </c>
      <c r="O245" s="38"/>
      <c r="P245" s="38"/>
      <c r="Q245" s="38"/>
      <c r="R245" s="38"/>
      <c r="S245" s="38"/>
      <c r="T245" s="38"/>
    </row>
    <row r="246" spans="1:20" ht="12.75">
      <c r="A246" s="535"/>
      <c r="B246" s="148"/>
      <c r="C246" s="204"/>
      <c r="D246" s="152"/>
      <c r="E246" s="157"/>
      <c r="F246" s="139" t="s">
        <v>289</v>
      </c>
      <c r="G246" s="171">
        <v>1.35</v>
      </c>
      <c r="H246" s="891">
        <v>0</v>
      </c>
      <c r="I246" s="38"/>
      <c r="J246" s="38"/>
      <c r="K246" s="38"/>
      <c r="L246" s="38"/>
      <c r="M246" s="38">
        <f>+IF(J246=G246,0,1)</f>
        <v>1</v>
      </c>
      <c r="N246" s="38">
        <f>+IF(K246=H246,0,1)</f>
        <v>0</v>
      </c>
      <c r="O246" s="38"/>
      <c r="P246" s="38"/>
      <c r="Q246" s="38"/>
      <c r="R246" s="38"/>
      <c r="S246" s="38"/>
      <c r="T246" s="38"/>
    </row>
    <row r="247" spans="1:20" ht="12.75">
      <c r="A247" s="535"/>
      <c r="B247" s="148"/>
      <c r="C247" s="204"/>
      <c r="D247" s="199" t="s">
        <v>14</v>
      </c>
      <c r="E247" s="155" t="s">
        <v>15</v>
      </c>
      <c r="F247" s="139" t="s">
        <v>149</v>
      </c>
      <c r="G247" s="171">
        <v>0.84</v>
      </c>
      <c r="H247" s="171">
        <v>0.95</v>
      </c>
      <c r="I247" s="38"/>
      <c r="J247" s="38"/>
      <c r="K247" s="38"/>
      <c r="L247" s="38"/>
      <c r="M247" s="38">
        <f>+IF(J247=G247,0,1)</f>
        <v>1</v>
      </c>
      <c r="N247" s="38">
        <f>+IF(K247=H247,0,1)</f>
        <v>1</v>
      </c>
      <c r="O247" s="38"/>
      <c r="P247" s="38"/>
      <c r="Q247" s="38"/>
      <c r="R247" s="38"/>
      <c r="S247" s="38"/>
      <c r="T247" s="38"/>
    </row>
    <row r="248" spans="1:20" ht="12.75">
      <c r="A248" s="535"/>
      <c r="B248" s="170"/>
      <c r="C248" s="229"/>
      <c r="D248" s="149"/>
      <c r="E248" s="154"/>
      <c r="F248" s="139" t="s">
        <v>150</v>
      </c>
      <c r="G248" s="171">
        <v>1.32</v>
      </c>
      <c r="H248" s="171">
        <v>1.35</v>
      </c>
      <c r="I248" s="38"/>
      <c r="J248" s="38"/>
      <c r="K248" s="38"/>
      <c r="L248" s="38"/>
      <c r="M248" s="38">
        <f>+IF(J248=G248,0,1)</f>
        <v>1</v>
      </c>
      <c r="N248" s="38">
        <f>+IF(K248=H248,0,1)</f>
        <v>1</v>
      </c>
      <c r="O248" s="730">
        <f>+SUM(M243:N248)</f>
        <v>10</v>
      </c>
      <c r="P248" s="38"/>
      <c r="Q248" s="38"/>
      <c r="R248" s="38"/>
      <c r="S248" s="38"/>
      <c r="T248" s="38"/>
    </row>
    <row r="249" spans="1:20" ht="12.75">
      <c r="A249" s="535"/>
      <c r="B249" s="1" t="s">
        <v>432</v>
      </c>
      <c r="C249" s="146"/>
      <c r="D249" s="146"/>
      <c r="E249" s="146"/>
      <c r="F249" s="146"/>
      <c r="G249" s="146"/>
      <c r="H249" s="146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1:20" ht="12.75">
      <c r="A250" s="535"/>
      <c r="B250" s="98" t="s">
        <v>277</v>
      </c>
      <c r="C250" s="146"/>
      <c r="D250" s="98"/>
      <c r="E250" s="98"/>
      <c r="F250" s="98"/>
      <c r="G250" s="98"/>
      <c r="H250" s="146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1:20" ht="12.75">
      <c r="A251" s="535"/>
      <c r="B251" s="38" t="s">
        <v>278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2:20" ht="12.7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2:20" ht="12.7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1:20" ht="15.75">
      <c r="A254" s="535"/>
      <c r="B254" s="97" t="s">
        <v>446</v>
      </c>
      <c r="C254" s="38"/>
      <c r="D254" s="98"/>
      <c r="E254" s="98"/>
      <c r="F254" s="98"/>
      <c r="G254" s="98"/>
      <c r="H254" s="98"/>
      <c r="I254" s="98"/>
      <c r="J254" s="98"/>
      <c r="K254" s="98"/>
      <c r="L254" s="98"/>
      <c r="M254" s="38"/>
      <c r="N254" s="38"/>
      <c r="O254" s="38"/>
      <c r="P254" s="38"/>
      <c r="Q254" s="38"/>
      <c r="R254" s="38"/>
      <c r="S254" s="38"/>
      <c r="T254" s="38"/>
    </row>
    <row r="255" spans="1:20" ht="12.75">
      <c r="A255" s="535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38"/>
      <c r="N255" s="38"/>
      <c r="O255" s="38"/>
      <c r="P255" s="38"/>
      <c r="Q255" s="38"/>
      <c r="R255" s="38"/>
      <c r="S255" s="38"/>
      <c r="T255" s="38"/>
    </row>
    <row r="256" spans="1:20" ht="12.75">
      <c r="A256" s="535"/>
      <c r="B256" s="98"/>
      <c r="C256" s="98"/>
      <c r="D256" s="98"/>
      <c r="E256" s="98"/>
      <c r="F256" s="98"/>
      <c r="G256" s="161" t="s">
        <v>98</v>
      </c>
      <c r="H256" s="162"/>
      <c r="I256" s="163" t="s">
        <v>99</v>
      </c>
      <c r="J256" s="162"/>
      <c r="K256" s="163" t="s">
        <v>245</v>
      </c>
      <c r="L256" s="162"/>
      <c r="M256" s="38"/>
      <c r="N256" s="38"/>
      <c r="O256" s="38"/>
      <c r="P256" s="38"/>
      <c r="Q256" s="38"/>
      <c r="R256" s="38"/>
      <c r="S256" s="38"/>
      <c r="T256" s="38"/>
    </row>
    <row r="257" spans="1:20" ht="12.75">
      <c r="A257" s="535"/>
      <c r="B257" s="169" t="s">
        <v>6</v>
      </c>
      <c r="C257" s="169" t="s">
        <v>3</v>
      </c>
      <c r="D257" s="168" t="s">
        <v>4</v>
      </c>
      <c r="E257" s="164" t="s">
        <v>7</v>
      </c>
      <c r="F257" s="168" t="s">
        <v>49</v>
      </c>
      <c r="G257" s="169" t="s">
        <v>35</v>
      </c>
      <c r="H257" s="169" t="s">
        <v>36</v>
      </c>
      <c r="I257" s="169" t="s">
        <v>35</v>
      </c>
      <c r="J257" s="169" t="s">
        <v>36</v>
      </c>
      <c r="K257" s="169" t="s">
        <v>35</v>
      </c>
      <c r="L257" s="169" t="s">
        <v>36</v>
      </c>
      <c r="M257" s="38"/>
      <c r="N257" s="38"/>
      <c r="O257" s="38"/>
      <c r="P257" s="38"/>
      <c r="Q257" s="38"/>
      <c r="R257" s="38"/>
      <c r="S257" s="38"/>
      <c r="T257" s="38"/>
    </row>
    <row r="258" spans="1:20" ht="12.75">
      <c r="A258" s="535"/>
      <c r="B258" s="159"/>
      <c r="C258" s="160"/>
      <c r="D258" s="165"/>
      <c r="E258" s="166" t="s">
        <v>86</v>
      </c>
      <c r="F258" s="167" t="s">
        <v>51</v>
      </c>
      <c r="G258" s="159"/>
      <c r="H258" s="159"/>
      <c r="I258" s="159"/>
      <c r="J258" s="159"/>
      <c r="K258" s="159"/>
      <c r="L258" s="159"/>
      <c r="M258" s="38"/>
      <c r="N258" s="38"/>
      <c r="O258" s="38"/>
      <c r="P258" s="38"/>
      <c r="Q258" s="38"/>
      <c r="R258" s="38"/>
      <c r="S258" s="38"/>
      <c r="T258" s="38"/>
    </row>
    <row r="259" spans="1:20" ht="12.75">
      <c r="A259" s="535"/>
      <c r="B259" s="198" t="s">
        <v>18</v>
      </c>
      <c r="C259" s="198" t="s">
        <v>37</v>
      </c>
      <c r="D259" s="205" t="s">
        <v>38</v>
      </c>
      <c r="E259" s="155" t="s">
        <v>39</v>
      </c>
      <c r="F259" s="141" t="s">
        <v>291</v>
      </c>
      <c r="G259" s="171">
        <v>5.85</v>
      </c>
      <c r="H259" s="171">
        <v>13.11</v>
      </c>
      <c r="I259" s="171">
        <v>6.52</v>
      </c>
      <c r="J259" s="171">
        <v>15.07</v>
      </c>
      <c r="K259" s="171">
        <v>7.16</v>
      </c>
      <c r="L259" s="171">
        <v>16.73</v>
      </c>
      <c r="M259" s="38"/>
      <c r="N259" s="38"/>
      <c r="O259" s="38"/>
      <c r="P259" s="38"/>
      <c r="Q259" s="38"/>
      <c r="R259" s="38"/>
      <c r="S259" s="38"/>
      <c r="T259" s="38"/>
    </row>
    <row r="260" spans="1:20" ht="12.75">
      <c r="A260" s="535"/>
      <c r="B260" s="148"/>
      <c r="C260" s="148"/>
      <c r="D260" s="205" t="s">
        <v>41</v>
      </c>
      <c r="E260" s="155" t="s">
        <v>42</v>
      </c>
      <c r="F260" s="141" t="s">
        <v>291</v>
      </c>
      <c r="G260" s="171">
        <v>6.96</v>
      </c>
      <c r="H260" s="171">
        <v>12.54</v>
      </c>
      <c r="I260" s="171">
        <v>6.56</v>
      </c>
      <c r="J260" s="171">
        <v>14.33</v>
      </c>
      <c r="K260" s="171">
        <v>7.16</v>
      </c>
      <c r="L260" s="171">
        <v>16.73</v>
      </c>
      <c r="M260" s="38"/>
      <c r="N260" s="38"/>
      <c r="O260" s="38"/>
      <c r="P260" s="38"/>
      <c r="Q260" s="38"/>
      <c r="R260" s="38"/>
      <c r="S260" s="38"/>
      <c r="T260" s="38"/>
    </row>
    <row r="261" spans="1:20" ht="12.75">
      <c r="A261" s="535"/>
      <c r="B261" s="148"/>
      <c r="C261" s="148"/>
      <c r="D261" s="205" t="s">
        <v>43</v>
      </c>
      <c r="E261" s="155" t="s">
        <v>44</v>
      </c>
      <c r="F261" s="141" t="s">
        <v>291</v>
      </c>
      <c r="G261" s="171">
        <v>6.52</v>
      </c>
      <c r="H261" s="171">
        <v>12.33</v>
      </c>
      <c r="I261" s="171">
        <v>6.66</v>
      </c>
      <c r="J261" s="171">
        <v>14.06</v>
      </c>
      <c r="K261" s="171">
        <v>7.4</v>
      </c>
      <c r="L261" s="171">
        <v>17.6</v>
      </c>
      <c r="M261" s="38"/>
      <c r="N261" s="38"/>
      <c r="O261" s="38"/>
      <c r="P261" s="38"/>
      <c r="Q261" s="38"/>
      <c r="R261" s="38"/>
      <c r="S261" s="38"/>
      <c r="T261" s="38"/>
    </row>
    <row r="262" spans="1:20" ht="12.75">
      <c r="A262" s="535"/>
      <c r="B262" s="148"/>
      <c r="C262" s="148"/>
      <c r="D262" s="205" t="s">
        <v>45</v>
      </c>
      <c r="E262" s="155" t="s">
        <v>46</v>
      </c>
      <c r="F262" s="141" t="s">
        <v>291</v>
      </c>
      <c r="G262" s="171">
        <v>6.62</v>
      </c>
      <c r="H262" s="171">
        <v>12.1</v>
      </c>
      <c r="I262" s="171">
        <v>6.66</v>
      </c>
      <c r="J262" s="171">
        <v>14.06</v>
      </c>
      <c r="K262" s="171">
        <v>7.5</v>
      </c>
      <c r="L262" s="171">
        <v>17.4</v>
      </c>
      <c r="M262" s="38"/>
      <c r="N262" s="38"/>
      <c r="O262" s="38"/>
      <c r="P262" s="38"/>
      <c r="Q262" s="38"/>
      <c r="R262" s="38"/>
      <c r="S262" s="38"/>
      <c r="T262" s="38"/>
    </row>
    <row r="263" spans="1:20" ht="12.75">
      <c r="A263" s="535"/>
      <c r="B263" s="170"/>
      <c r="C263" s="159"/>
      <c r="D263" s="236" t="s">
        <v>177</v>
      </c>
      <c r="E263" s="93" t="s">
        <v>176</v>
      </c>
      <c r="F263" s="141" t="s">
        <v>291</v>
      </c>
      <c r="G263" s="171">
        <v>7.54</v>
      </c>
      <c r="H263" s="171">
        <v>12.3</v>
      </c>
      <c r="I263" s="171">
        <v>7.03</v>
      </c>
      <c r="J263" s="171">
        <v>13.96</v>
      </c>
      <c r="K263" s="171">
        <v>7.94</v>
      </c>
      <c r="L263" s="171">
        <v>16.83</v>
      </c>
      <c r="M263" s="38"/>
      <c r="N263" s="38"/>
      <c r="O263" s="38"/>
      <c r="P263" s="38"/>
      <c r="Q263" s="38"/>
      <c r="R263" s="38"/>
      <c r="S263" s="38"/>
      <c r="T263" s="38"/>
    </row>
    <row r="264" spans="2:20" ht="12.7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2:20" ht="12.75">
      <c r="B265" s="269"/>
      <c r="C265" s="269"/>
      <c r="D265" s="269"/>
      <c r="E265" s="269"/>
      <c r="F265" s="269"/>
      <c r="G265" s="269"/>
      <c r="H265" s="269"/>
      <c r="I265" s="269"/>
      <c r="J265" s="269"/>
      <c r="K265" s="269"/>
      <c r="L265" s="269"/>
      <c r="M265" s="269"/>
      <c r="N265" s="269"/>
      <c r="O265" s="38"/>
      <c r="P265" s="38"/>
      <c r="Q265" s="38"/>
      <c r="R265" s="38"/>
      <c r="S265" s="38"/>
      <c r="T265" s="38"/>
    </row>
    <row r="266" spans="2:20" ht="12.7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2:27" ht="12.75">
      <c r="B267" s="258"/>
      <c r="C267" s="258"/>
      <c r="D267" s="258"/>
      <c r="E267" s="258"/>
      <c r="F267" s="258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83" t="s">
        <v>128</v>
      </c>
      <c r="T267" s="172"/>
      <c r="U267" s="172"/>
      <c r="V267" s="172"/>
      <c r="W267" s="172"/>
      <c r="X267" s="172"/>
      <c r="Y267" s="172"/>
      <c r="Z267" s="172"/>
      <c r="AA267" s="172"/>
    </row>
    <row r="268" spans="1:27" ht="15.75">
      <c r="A268" s="535"/>
      <c r="B268" s="97" t="s">
        <v>306</v>
      </c>
      <c r="C268" s="258"/>
      <c r="D268" s="98"/>
      <c r="E268" s="98"/>
      <c r="F268" s="98"/>
      <c r="G268" s="98"/>
      <c r="H268" s="98"/>
      <c r="I268" s="98"/>
      <c r="J268" s="258"/>
      <c r="K268" s="258"/>
      <c r="L268" s="258"/>
      <c r="M268" s="258"/>
      <c r="N268" s="258"/>
      <c r="O268" s="258"/>
      <c r="P268" s="258"/>
      <c r="Q268" s="258"/>
      <c r="R268" s="258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535"/>
      <c r="B269" s="258"/>
      <c r="C269" s="258"/>
      <c r="D269" s="258"/>
      <c r="E269" s="258"/>
      <c r="F269" s="258"/>
      <c r="G269" s="258"/>
      <c r="H269" s="258"/>
      <c r="I269" s="932" t="s">
        <v>307</v>
      </c>
      <c r="J269" s="933"/>
      <c r="K269" s="932" t="s">
        <v>308</v>
      </c>
      <c r="L269" s="933"/>
      <c r="M269" s="932" t="s">
        <v>309</v>
      </c>
      <c r="N269" s="933"/>
      <c r="O269" s="932" t="s">
        <v>310</v>
      </c>
      <c r="P269" s="933"/>
      <c r="Q269" s="258"/>
      <c r="R269" s="258"/>
      <c r="S269" s="173" t="s">
        <v>3</v>
      </c>
      <c r="T269" s="173" t="s">
        <v>4</v>
      </c>
      <c r="U269" s="173" t="s">
        <v>5</v>
      </c>
      <c r="V269" s="173" t="s">
        <v>6</v>
      </c>
      <c r="W269" s="173" t="s">
        <v>7</v>
      </c>
      <c r="X269" s="173" t="s">
        <v>47</v>
      </c>
      <c r="Y269" s="173" t="s">
        <v>48</v>
      </c>
      <c r="Z269" s="173" t="s">
        <v>49</v>
      </c>
      <c r="AA269" s="173" t="s">
        <v>93</v>
      </c>
    </row>
    <row r="270" spans="1:27" ht="12.75">
      <c r="A270" s="535"/>
      <c r="B270" s="169" t="s">
        <v>6</v>
      </c>
      <c r="C270" s="164" t="s">
        <v>3</v>
      </c>
      <c r="D270" s="169" t="s">
        <v>4</v>
      </c>
      <c r="E270" s="169" t="s">
        <v>7</v>
      </c>
      <c r="F270" s="169" t="s">
        <v>49</v>
      </c>
      <c r="G270" s="169" t="s">
        <v>1</v>
      </c>
      <c r="H270" s="169" t="s">
        <v>2</v>
      </c>
      <c r="I270" s="169" t="s">
        <v>1</v>
      </c>
      <c r="J270" s="169" t="s">
        <v>2</v>
      </c>
      <c r="K270" s="169" t="s">
        <v>1</v>
      </c>
      <c r="L270" s="169" t="s">
        <v>2</v>
      </c>
      <c r="M270" s="169" t="s">
        <v>1</v>
      </c>
      <c r="N270" s="169" t="s">
        <v>2</v>
      </c>
      <c r="O270" s="169" t="s">
        <v>1</v>
      </c>
      <c r="P270" s="169" t="s">
        <v>2</v>
      </c>
      <c r="Q270" s="258"/>
      <c r="R270" s="258"/>
      <c r="S270" s="174"/>
      <c r="T270" s="174"/>
      <c r="U270" s="174" t="s">
        <v>8</v>
      </c>
      <c r="V270" s="174"/>
      <c r="W270" s="174" t="s">
        <v>86</v>
      </c>
      <c r="X270" s="174"/>
      <c r="Y270" s="174"/>
      <c r="Z270" s="174" t="s">
        <v>51</v>
      </c>
      <c r="AA270" s="174" t="s">
        <v>129</v>
      </c>
    </row>
    <row r="271" spans="1:27" ht="12.75">
      <c r="A271" s="535"/>
      <c r="B271" s="245"/>
      <c r="C271" s="246"/>
      <c r="D271" s="245"/>
      <c r="E271" s="245" t="s">
        <v>86</v>
      </c>
      <c r="F271" s="245" t="s">
        <v>304</v>
      </c>
      <c r="G271" s="225" t="s">
        <v>274</v>
      </c>
      <c r="H271" s="245" t="s">
        <v>275</v>
      </c>
      <c r="I271" s="225" t="s">
        <v>274</v>
      </c>
      <c r="J271" s="245" t="s">
        <v>275</v>
      </c>
      <c r="K271" s="225" t="s">
        <v>274</v>
      </c>
      <c r="L271" s="245" t="s">
        <v>275</v>
      </c>
      <c r="M271" s="225" t="s">
        <v>274</v>
      </c>
      <c r="N271" s="245" t="s">
        <v>275</v>
      </c>
      <c r="O271" s="225" t="s">
        <v>274</v>
      </c>
      <c r="P271" s="245" t="s">
        <v>275</v>
      </c>
      <c r="Q271" s="258"/>
      <c r="R271" s="258"/>
      <c r="S271" s="175" t="s">
        <v>9</v>
      </c>
      <c r="T271" s="176" t="s">
        <v>52</v>
      </c>
      <c r="U271" s="175" t="s">
        <v>53</v>
      </c>
      <c r="V271" s="177" t="s">
        <v>11</v>
      </c>
      <c r="W271" s="155" t="s">
        <v>19</v>
      </c>
      <c r="X271" s="175" t="s">
        <v>54</v>
      </c>
      <c r="Y271" s="178" t="s">
        <v>55</v>
      </c>
      <c r="Z271" s="178" t="s">
        <v>56</v>
      </c>
      <c r="AA271" s="179">
        <v>0.55</v>
      </c>
    </row>
    <row r="272" spans="1:27" ht="12.75">
      <c r="A272" s="535"/>
      <c r="B272" s="198" t="s">
        <v>11</v>
      </c>
      <c r="C272" s="231" t="s">
        <v>9</v>
      </c>
      <c r="D272" s="198" t="s">
        <v>10</v>
      </c>
      <c r="E272" s="155" t="s">
        <v>12</v>
      </c>
      <c r="F272" s="139" t="s">
        <v>63</v>
      </c>
      <c r="G272" s="171">
        <v>1.17</v>
      </c>
      <c r="H272" s="171">
        <v>1.08</v>
      </c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85"/>
      <c r="T272" s="1"/>
      <c r="U272" s="185"/>
      <c r="V272" s="1"/>
      <c r="W272" s="180"/>
      <c r="X272" s="180"/>
      <c r="Y272" s="178" t="s">
        <v>57</v>
      </c>
      <c r="Z272" s="178" t="s">
        <v>58</v>
      </c>
      <c r="AA272" s="179">
        <v>0.71</v>
      </c>
    </row>
    <row r="273" spans="1:27" ht="12.75">
      <c r="A273" s="535"/>
      <c r="B273" s="148"/>
      <c r="C273" s="89"/>
      <c r="D273" s="148"/>
      <c r="E273" s="157"/>
      <c r="F273" s="139" t="s">
        <v>87</v>
      </c>
      <c r="G273" s="259">
        <v>0</v>
      </c>
      <c r="H273" s="259">
        <v>0</v>
      </c>
      <c r="I273" s="171">
        <v>0.87</v>
      </c>
      <c r="J273" s="171">
        <v>0.78</v>
      </c>
      <c r="K273" s="171">
        <v>0.92</v>
      </c>
      <c r="L273" s="171">
        <v>0.83</v>
      </c>
      <c r="M273" s="171">
        <v>1.08</v>
      </c>
      <c r="N273" s="171">
        <v>0.99</v>
      </c>
      <c r="O273" s="171">
        <v>1.13</v>
      </c>
      <c r="P273" s="171">
        <v>1.04</v>
      </c>
      <c r="Q273" s="258"/>
      <c r="R273" s="258"/>
      <c r="S273" s="180"/>
      <c r="T273" s="176"/>
      <c r="U273" s="180"/>
      <c r="V273" s="177"/>
      <c r="W273" s="180"/>
      <c r="X273" s="180"/>
      <c r="Y273" s="195" t="s">
        <v>298</v>
      </c>
      <c r="Z273" s="196" t="s">
        <v>185</v>
      </c>
      <c r="AA273" s="179">
        <v>0.87</v>
      </c>
    </row>
    <row r="274" spans="1:27" ht="12.75">
      <c r="A274" s="535"/>
      <c r="B274" s="260"/>
      <c r="C274" s="258"/>
      <c r="D274" s="260"/>
      <c r="E274" s="260"/>
      <c r="F274" s="139" t="s">
        <v>270</v>
      </c>
      <c r="G274" s="259">
        <v>0</v>
      </c>
      <c r="H274" s="259">
        <v>0</v>
      </c>
      <c r="I274" s="171">
        <v>1.04</v>
      </c>
      <c r="J274" s="259">
        <v>0</v>
      </c>
      <c r="K274" s="171">
        <v>1.1</v>
      </c>
      <c r="L274" s="259">
        <v>0</v>
      </c>
      <c r="M274" s="171">
        <v>1.3</v>
      </c>
      <c r="N274" s="259">
        <v>0</v>
      </c>
      <c r="O274" s="171">
        <v>1.36</v>
      </c>
      <c r="P274" s="259">
        <v>0</v>
      </c>
      <c r="Q274" s="258"/>
      <c r="R274" s="258"/>
      <c r="S274" s="180"/>
      <c r="T274" s="176"/>
      <c r="U274" s="180"/>
      <c r="V274" s="177"/>
      <c r="W274" s="180"/>
      <c r="X274" s="180"/>
      <c r="Y274" s="195" t="s">
        <v>299</v>
      </c>
      <c r="Z274" s="196" t="s">
        <v>185</v>
      </c>
      <c r="AA274" s="179">
        <v>0.92</v>
      </c>
    </row>
    <row r="275" spans="1:27" ht="12.75">
      <c r="A275" s="535"/>
      <c r="B275" s="148"/>
      <c r="C275" s="89"/>
      <c r="D275" s="148"/>
      <c r="E275" s="157"/>
      <c r="F275" s="139" t="s">
        <v>88</v>
      </c>
      <c r="G275" s="259">
        <v>0</v>
      </c>
      <c r="H275" s="259">
        <v>0</v>
      </c>
      <c r="I275" s="171">
        <v>0.87</v>
      </c>
      <c r="J275" s="171">
        <v>0.78</v>
      </c>
      <c r="K275" s="171">
        <v>0.92</v>
      </c>
      <c r="L275" s="171">
        <v>0.83</v>
      </c>
      <c r="M275" s="171">
        <v>1.08</v>
      </c>
      <c r="N275" s="171">
        <v>0.99</v>
      </c>
      <c r="O275" s="171">
        <v>1.13</v>
      </c>
      <c r="P275" s="171">
        <v>1.04</v>
      </c>
      <c r="Q275" s="258"/>
      <c r="R275" s="258"/>
      <c r="S275" s="180"/>
      <c r="T275" s="176"/>
      <c r="U275" s="180"/>
      <c r="V275" s="177"/>
      <c r="W275" s="180"/>
      <c r="X275" s="180"/>
      <c r="Y275" s="195" t="s">
        <v>301</v>
      </c>
      <c r="Z275" s="196" t="s">
        <v>185</v>
      </c>
      <c r="AA275" s="179">
        <v>1.08</v>
      </c>
    </row>
    <row r="276" spans="1:27" ht="12.75">
      <c r="A276" s="535"/>
      <c r="B276" s="260"/>
      <c r="C276" s="258"/>
      <c r="D276" s="260"/>
      <c r="E276" s="260"/>
      <c r="F276" s="139" t="s">
        <v>271</v>
      </c>
      <c r="G276" s="259">
        <v>0</v>
      </c>
      <c r="H276" s="259">
        <v>0</v>
      </c>
      <c r="I276" s="171">
        <v>1.04</v>
      </c>
      <c r="J276" s="259">
        <v>0</v>
      </c>
      <c r="K276" s="171">
        <v>1.1</v>
      </c>
      <c r="L276" s="259">
        <v>0</v>
      </c>
      <c r="M276" s="171">
        <v>1.3</v>
      </c>
      <c r="N276" s="259">
        <v>0</v>
      </c>
      <c r="O276" s="171">
        <v>1.36</v>
      </c>
      <c r="P276" s="259">
        <v>0</v>
      </c>
      <c r="Q276" s="258"/>
      <c r="R276" s="258"/>
      <c r="S276" s="180"/>
      <c r="T276" s="176"/>
      <c r="U276" s="180"/>
      <c r="V276" s="177"/>
      <c r="W276" s="180"/>
      <c r="X276" s="180"/>
      <c r="Y276" s="195" t="s">
        <v>300</v>
      </c>
      <c r="Z276" s="196" t="s">
        <v>185</v>
      </c>
      <c r="AA276" s="179">
        <v>1.13</v>
      </c>
    </row>
    <row r="277" spans="1:27" ht="12.75">
      <c r="A277" s="535"/>
      <c r="B277" s="148"/>
      <c r="C277" s="89"/>
      <c r="D277" s="170"/>
      <c r="E277" s="220"/>
      <c r="F277" s="139" t="s">
        <v>56</v>
      </c>
      <c r="G277" s="171">
        <v>0.55</v>
      </c>
      <c r="H277" s="171">
        <v>0.46</v>
      </c>
      <c r="I277" s="258">
        <v>0</v>
      </c>
      <c r="J277" s="258">
        <v>0</v>
      </c>
      <c r="K277" s="258">
        <v>0</v>
      </c>
      <c r="L277" s="258">
        <v>0</v>
      </c>
      <c r="M277" s="258">
        <v>0</v>
      </c>
      <c r="N277" s="258">
        <v>0</v>
      </c>
      <c r="O277" s="258">
        <v>0</v>
      </c>
      <c r="P277" s="258">
        <v>0</v>
      </c>
      <c r="Q277" s="258"/>
      <c r="R277" s="258"/>
      <c r="S277" s="180"/>
      <c r="T277" s="176"/>
      <c r="U277" s="180"/>
      <c r="V277" s="177"/>
      <c r="W277" s="180"/>
      <c r="X277" s="182"/>
      <c r="Y277" s="178" t="s">
        <v>62</v>
      </c>
      <c r="Z277" s="178" t="s">
        <v>63</v>
      </c>
      <c r="AA277" s="179">
        <v>1.17</v>
      </c>
    </row>
    <row r="278" spans="1:27" ht="12.75">
      <c r="A278" s="535"/>
      <c r="B278" s="148"/>
      <c r="C278" s="89"/>
      <c r="D278" s="198" t="s">
        <v>14</v>
      </c>
      <c r="E278" s="155" t="s">
        <v>15</v>
      </c>
      <c r="F278" s="139" t="s">
        <v>63</v>
      </c>
      <c r="G278" s="171">
        <v>1.17</v>
      </c>
      <c r="H278" s="171">
        <v>1.08</v>
      </c>
      <c r="I278" s="258">
        <v>0</v>
      </c>
      <c r="J278" s="258">
        <v>0</v>
      </c>
      <c r="K278" s="258">
        <v>0</v>
      </c>
      <c r="L278" s="258">
        <v>0</v>
      </c>
      <c r="M278" s="258">
        <v>0</v>
      </c>
      <c r="N278" s="258">
        <v>0</v>
      </c>
      <c r="O278" s="258">
        <v>0</v>
      </c>
      <c r="P278" s="258">
        <v>0</v>
      </c>
      <c r="Q278" s="258"/>
      <c r="R278" s="258"/>
      <c r="S278" s="180"/>
      <c r="T278" s="176"/>
      <c r="U278" s="180"/>
      <c r="V278" s="177"/>
      <c r="W278" s="180"/>
      <c r="X278" s="175" t="s">
        <v>2</v>
      </c>
      <c r="Y278" s="178" t="s">
        <v>55</v>
      </c>
      <c r="Z278" s="178" t="s">
        <v>56</v>
      </c>
      <c r="AA278" s="179">
        <v>0.46</v>
      </c>
    </row>
    <row r="279" spans="1:27" ht="12.75">
      <c r="A279" s="535"/>
      <c r="B279" s="148"/>
      <c r="C279" s="89"/>
      <c r="D279" s="148"/>
      <c r="E279" s="157"/>
      <c r="F279" s="139" t="s">
        <v>87</v>
      </c>
      <c r="G279" s="259">
        <v>0</v>
      </c>
      <c r="H279" s="259">
        <v>0</v>
      </c>
      <c r="I279" s="171">
        <v>0.87</v>
      </c>
      <c r="J279" s="171">
        <v>0.78</v>
      </c>
      <c r="K279" s="171">
        <v>0.92</v>
      </c>
      <c r="L279" s="171">
        <v>0.83</v>
      </c>
      <c r="M279" s="171">
        <v>1.08</v>
      </c>
      <c r="N279" s="171">
        <v>0.99</v>
      </c>
      <c r="O279" s="171">
        <v>1.13</v>
      </c>
      <c r="P279" s="171">
        <v>1.04</v>
      </c>
      <c r="Q279" s="258"/>
      <c r="R279" s="98"/>
      <c r="S279" s="180"/>
      <c r="T279" s="176"/>
      <c r="U279" s="180"/>
      <c r="V279" s="177"/>
      <c r="W279" s="180"/>
      <c r="X279" s="180"/>
      <c r="Y279" s="178" t="s">
        <v>57</v>
      </c>
      <c r="Z279" s="178" t="s">
        <v>58</v>
      </c>
      <c r="AA279" s="179">
        <v>0.67</v>
      </c>
    </row>
    <row r="280" spans="1:27" ht="12.75">
      <c r="A280" s="535"/>
      <c r="B280" s="148"/>
      <c r="C280" s="89"/>
      <c r="D280" s="148"/>
      <c r="E280" s="157"/>
      <c r="F280" s="139" t="s">
        <v>88</v>
      </c>
      <c r="G280" s="259">
        <v>0</v>
      </c>
      <c r="H280" s="259">
        <v>0</v>
      </c>
      <c r="I280" s="171">
        <v>0.87</v>
      </c>
      <c r="J280" s="171">
        <v>0.78</v>
      </c>
      <c r="K280" s="171">
        <v>0.92</v>
      </c>
      <c r="L280" s="171">
        <v>0.83</v>
      </c>
      <c r="M280" s="171">
        <v>1.08</v>
      </c>
      <c r="N280" s="171">
        <v>0.99</v>
      </c>
      <c r="O280" s="171">
        <v>1.13</v>
      </c>
      <c r="P280" s="171">
        <v>1.04</v>
      </c>
      <c r="Q280" s="258"/>
      <c r="R280" s="98"/>
      <c r="S280" s="180"/>
      <c r="T280" s="176"/>
      <c r="U280" s="180"/>
      <c r="V280" s="177"/>
      <c r="W280" s="180"/>
      <c r="X280" s="180"/>
      <c r="Y280" s="195" t="s">
        <v>298</v>
      </c>
      <c r="Z280" s="196" t="s">
        <v>185</v>
      </c>
      <c r="AA280" s="179">
        <v>0.78</v>
      </c>
    </row>
    <row r="281" spans="1:27" ht="12.75">
      <c r="A281" s="535"/>
      <c r="B281" s="148"/>
      <c r="C281" s="89"/>
      <c r="D281" s="148"/>
      <c r="E281" s="157"/>
      <c r="F281" s="202" t="s">
        <v>56</v>
      </c>
      <c r="G281" s="171">
        <v>0.55</v>
      </c>
      <c r="H281" s="171">
        <v>0.46</v>
      </c>
      <c r="I281" s="258">
        <v>0</v>
      </c>
      <c r="J281" s="258">
        <v>0</v>
      </c>
      <c r="K281" s="258">
        <v>0</v>
      </c>
      <c r="L281" s="258">
        <v>0</v>
      </c>
      <c r="M281" s="258">
        <v>0</v>
      </c>
      <c r="N281" s="258">
        <v>0</v>
      </c>
      <c r="O281" s="258">
        <v>0</v>
      </c>
      <c r="P281" s="258">
        <v>0</v>
      </c>
      <c r="Q281" s="258"/>
      <c r="R281" s="258"/>
      <c r="S281" s="180"/>
      <c r="T281" s="176"/>
      <c r="U281" s="180"/>
      <c r="V281" s="177"/>
      <c r="W281" s="180"/>
      <c r="X281" s="180"/>
      <c r="Y281" s="195" t="s">
        <v>299</v>
      </c>
      <c r="Z281" s="196" t="s">
        <v>185</v>
      </c>
      <c r="AA281" s="179">
        <v>0.83</v>
      </c>
    </row>
    <row r="282" spans="1:27" ht="12.75">
      <c r="A282" s="535"/>
      <c r="B282" s="198" t="s">
        <v>18</v>
      </c>
      <c r="C282" s="231" t="s">
        <v>16</v>
      </c>
      <c r="D282" s="198" t="s">
        <v>17</v>
      </c>
      <c r="E282" s="155" t="s">
        <v>19</v>
      </c>
      <c r="F282" s="139" t="s">
        <v>63</v>
      </c>
      <c r="G282" s="171">
        <v>2.18</v>
      </c>
      <c r="H282" s="171">
        <v>2.12</v>
      </c>
      <c r="I282" s="258">
        <v>0</v>
      </c>
      <c r="J282" s="258">
        <v>0</v>
      </c>
      <c r="K282" s="258">
        <v>0</v>
      </c>
      <c r="L282" s="258">
        <v>0</v>
      </c>
      <c r="M282" s="258">
        <v>0</v>
      </c>
      <c r="N282" s="258">
        <v>0</v>
      </c>
      <c r="O282" s="258">
        <v>0</v>
      </c>
      <c r="P282" s="258">
        <v>0</v>
      </c>
      <c r="Q282" s="258"/>
      <c r="R282" s="258"/>
      <c r="S282" s="180"/>
      <c r="T282" s="176"/>
      <c r="U282" s="180"/>
      <c r="V282" s="177"/>
      <c r="W282" s="180"/>
      <c r="X282" s="180"/>
      <c r="Y282" s="195" t="s">
        <v>301</v>
      </c>
      <c r="Z282" s="196" t="s">
        <v>185</v>
      </c>
      <c r="AA282" s="179">
        <v>0.99</v>
      </c>
    </row>
    <row r="283" spans="1:27" ht="12.75">
      <c r="A283" s="535"/>
      <c r="B283" s="148"/>
      <c r="C283" s="89"/>
      <c r="D283" s="148"/>
      <c r="E283" s="157"/>
      <c r="F283" s="139" t="s">
        <v>60</v>
      </c>
      <c r="G283" s="259">
        <v>0</v>
      </c>
      <c r="H283" s="259">
        <v>0</v>
      </c>
      <c r="I283" s="171">
        <v>1.04</v>
      </c>
      <c r="J283" s="171">
        <v>0.99</v>
      </c>
      <c r="K283" s="171">
        <v>1.04</v>
      </c>
      <c r="L283" s="171">
        <v>0.99</v>
      </c>
      <c r="M283" s="171">
        <v>1.16</v>
      </c>
      <c r="N283" s="171">
        <v>1.1</v>
      </c>
      <c r="O283" s="171">
        <v>1.16</v>
      </c>
      <c r="P283" s="171">
        <v>1.1</v>
      </c>
      <c r="Q283" s="258"/>
      <c r="R283" s="258"/>
      <c r="S283" s="180"/>
      <c r="T283" s="176"/>
      <c r="U283" s="180"/>
      <c r="V283" s="177"/>
      <c r="W283" s="180"/>
      <c r="X283" s="180"/>
      <c r="Y283" s="195" t="s">
        <v>300</v>
      </c>
      <c r="Z283" s="196" t="s">
        <v>185</v>
      </c>
      <c r="AA283" s="179">
        <v>1.04</v>
      </c>
    </row>
    <row r="284" spans="1:27" ht="12.75">
      <c r="A284" s="535"/>
      <c r="B284" s="148"/>
      <c r="C284" s="89"/>
      <c r="D284" s="148"/>
      <c r="E284" s="157"/>
      <c r="F284" s="139" t="s">
        <v>56</v>
      </c>
      <c r="G284" s="171">
        <v>0.54</v>
      </c>
      <c r="H284" s="171">
        <v>0.48</v>
      </c>
      <c r="I284" s="258">
        <v>0</v>
      </c>
      <c r="J284" s="258">
        <v>0</v>
      </c>
      <c r="K284" s="258">
        <v>0</v>
      </c>
      <c r="L284" s="258">
        <v>0</v>
      </c>
      <c r="M284" s="258">
        <v>0</v>
      </c>
      <c r="N284" s="258">
        <v>0</v>
      </c>
      <c r="O284" s="258">
        <v>0</v>
      </c>
      <c r="P284" s="258">
        <v>0</v>
      </c>
      <c r="Q284" s="258"/>
      <c r="R284" s="258"/>
      <c r="S284" s="182"/>
      <c r="T284" s="176"/>
      <c r="U284" s="182"/>
      <c r="V284" s="177"/>
      <c r="W284" s="180"/>
      <c r="X284" s="182"/>
      <c r="Y284" s="178" t="s">
        <v>62</v>
      </c>
      <c r="Z284" s="178" t="s">
        <v>63</v>
      </c>
      <c r="AA284" s="179">
        <v>1.08</v>
      </c>
    </row>
    <row r="285" spans="1:27" ht="12.75">
      <c r="A285" s="535"/>
      <c r="B285" s="148"/>
      <c r="C285" s="89"/>
      <c r="D285" s="148"/>
      <c r="E285" s="157"/>
      <c r="F285" s="139" t="s">
        <v>272</v>
      </c>
      <c r="G285" s="171">
        <v>2.51</v>
      </c>
      <c r="H285" s="171">
        <v>2.46</v>
      </c>
      <c r="I285" s="258">
        <v>0</v>
      </c>
      <c r="J285" s="258">
        <v>0</v>
      </c>
      <c r="K285" s="258">
        <v>0</v>
      </c>
      <c r="L285" s="258">
        <v>0</v>
      </c>
      <c r="M285" s="258">
        <v>0</v>
      </c>
      <c r="N285" s="258">
        <v>0</v>
      </c>
      <c r="O285" s="258">
        <v>0</v>
      </c>
      <c r="P285" s="258">
        <v>0</v>
      </c>
      <c r="Q285" s="258"/>
      <c r="R285" s="258"/>
      <c r="S285" s="175" t="s">
        <v>16</v>
      </c>
      <c r="T285" s="175" t="s">
        <v>64</v>
      </c>
      <c r="U285" s="175" t="s">
        <v>53</v>
      </c>
      <c r="V285" s="175" t="s">
        <v>18</v>
      </c>
      <c r="W285" s="155" t="s">
        <v>65</v>
      </c>
      <c r="X285" s="175" t="s">
        <v>54</v>
      </c>
      <c r="Y285" s="178" t="s">
        <v>55</v>
      </c>
      <c r="Z285" s="178" t="s">
        <v>56</v>
      </c>
      <c r="AA285" s="179">
        <v>0.54</v>
      </c>
    </row>
    <row r="286" spans="1:27" ht="12.75">
      <c r="A286" s="535"/>
      <c r="B286" s="148"/>
      <c r="C286" s="89"/>
      <c r="D286" s="248" t="s">
        <v>21</v>
      </c>
      <c r="E286" s="221" t="s">
        <v>22</v>
      </c>
      <c r="F286" s="139" t="s">
        <v>63</v>
      </c>
      <c r="G286" s="171">
        <v>2.18</v>
      </c>
      <c r="H286" s="171">
        <v>2.12</v>
      </c>
      <c r="I286" s="258">
        <v>0</v>
      </c>
      <c r="J286" s="258">
        <v>0</v>
      </c>
      <c r="K286" s="258">
        <v>0</v>
      </c>
      <c r="L286" s="258">
        <v>0</v>
      </c>
      <c r="M286" s="258">
        <v>0</v>
      </c>
      <c r="N286" s="258">
        <v>0</v>
      </c>
      <c r="O286" s="258">
        <v>0</v>
      </c>
      <c r="P286" s="258">
        <v>0</v>
      </c>
      <c r="Q286" s="258"/>
      <c r="R286" s="258"/>
      <c r="S286" s="180"/>
      <c r="T286" s="180"/>
      <c r="U286" s="180"/>
      <c r="V286" s="180"/>
      <c r="W286" s="180"/>
      <c r="X286" s="180"/>
      <c r="Y286" s="181" t="s">
        <v>59</v>
      </c>
      <c r="Z286" s="178" t="s">
        <v>185</v>
      </c>
      <c r="AA286" s="179">
        <v>1.04</v>
      </c>
    </row>
    <row r="287" spans="1:27" ht="12.75">
      <c r="A287" s="535"/>
      <c r="B287" s="148"/>
      <c r="C287" s="89"/>
      <c r="D287" s="148"/>
      <c r="E287" s="157"/>
      <c r="F287" s="139" t="s">
        <v>60</v>
      </c>
      <c r="G287" s="259">
        <v>0</v>
      </c>
      <c r="H287" s="259">
        <v>0</v>
      </c>
      <c r="I287" s="171">
        <v>1.04</v>
      </c>
      <c r="J287" s="171">
        <v>0.99</v>
      </c>
      <c r="K287" s="171">
        <v>1.04</v>
      </c>
      <c r="L287" s="171">
        <v>0.99</v>
      </c>
      <c r="M287" s="171">
        <v>1.16</v>
      </c>
      <c r="N287" s="171">
        <v>1.1</v>
      </c>
      <c r="O287" s="171">
        <v>1.16</v>
      </c>
      <c r="P287" s="171">
        <v>1.1</v>
      </c>
      <c r="Q287" s="258"/>
      <c r="R287" s="258"/>
      <c r="S287" s="180"/>
      <c r="T287" s="180"/>
      <c r="U287" s="180"/>
      <c r="V287" s="180"/>
      <c r="W287" s="180"/>
      <c r="X287" s="180"/>
      <c r="Y287" s="181" t="s">
        <v>61</v>
      </c>
      <c r="Z287" s="178" t="s">
        <v>185</v>
      </c>
      <c r="AA287" s="179">
        <v>1.16</v>
      </c>
    </row>
    <row r="288" spans="1:27" ht="12.75">
      <c r="A288" s="535"/>
      <c r="B288" s="148"/>
      <c r="C288" s="89"/>
      <c r="D288" s="148"/>
      <c r="E288" s="157"/>
      <c r="F288" s="139" t="s">
        <v>56</v>
      </c>
      <c r="G288" s="171">
        <v>0.54</v>
      </c>
      <c r="H288" s="171">
        <v>0.48</v>
      </c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80"/>
      <c r="T288" s="180"/>
      <c r="U288" s="180"/>
      <c r="V288" s="180"/>
      <c r="W288" s="180"/>
      <c r="X288" s="180"/>
      <c r="Y288" s="178" t="s">
        <v>62</v>
      </c>
      <c r="Z288" s="178" t="s">
        <v>63</v>
      </c>
      <c r="AA288" s="179">
        <v>2.17</v>
      </c>
    </row>
    <row r="289" spans="1:27" ht="12.75">
      <c r="A289" s="535"/>
      <c r="B289" s="148"/>
      <c r="C289" s="89"/>
      <c r="D289" s="148"/>
      <c r="E289" s="157"/>
      <c r="F289" s="139" t="s">
        <v>272</v>
      </c>
      <c r="G289" s="171">
        <v>2.51</v>
      </c>
      <c r="H289" s="171">
        <v>2.46</v>
      </c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80"/>
      <c r="T289" s="180"/>
      <c r="U289" s="180"/>
      <c r="V289" s="180"/>
      <c r="W289" s="180"/>
      <c r="X289" s="182"/>
      <c r="Y289" s="178" t="s">
        <v>66</v>
      </c>
      <c r="Z289" s="178" t="s">
        <v>20</v>
      </c>
      <c r="AA289" s="179">
        <v>2.51</v>
      </c>
    </row>
    <row r="290" spans="1:27" ht="12.75">
      <c r="A290" s="535"/>
      <c r="B290" s="148"/>
      <c r="C290" s="231" t="s">
        <v>23</v>
      </c>
      <c r="D290" s="198" t="s">
        <v>24</v>
      </c>
      <c r="E290" s="155" t="s">
        <v>25</v>
      </c>
      <c r="F290" s="261" t="s">
        <v>273</v>
      </c>
      <c r="G290" s="171">
        <v>3.49</v>
      </c>
      <c r="H290" s="171">
        <v>3.28</v>
      </c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80"/>
      <c r="T290" s="180"/>
      <c r="U290" s="180"/>
      <c r="V290" s="180"/>
      <c r="W290" s="180"/>
      <c r="X290" s="175" t="s">
        <v>2</v>
      </c>
      <c r="Y290" s="178" t="s">
        <v>55</v>
      </c>
      <c r="Z290" s="178" t="s">
        <v>56</v>
      </c>
      <c r="AA290" s="179">
        <v>0.48</v>
      </c>
    </row>
    <row r="291" spans="1:27" ht="12.75">
      <c r="A291" s="535"/>
      <c r="B291" s="148"/>
      <c r="C291" s="231" t="s">
        <v>26</v>
      </c>
      <c r="D291" s="198" t="s">
        <v>27</v>
      </c>
      <c r="E291" s="155" t="s">
        <v>28</v>
      </c>
      <c r="F291" s="139" t="s">
        <v>272</v>
      </c>
      <c r="G291" s="171">
        <v>3.49</v>
      </c>
      <c r="H291" s="171">
        <v>3.28</v>
      </c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80"/>
      <c r="T291" s="180"/>
      <c r="U291" s="180"/>
      <c r="V291" s="180"/>
      <c r="W291" s="180"/>
      <c r="X291" s="180"/>
      <c r="Y291" s="181" t="s">
        <v>59</v>
      </c>
      <c r="Z291" s="178" t="s">
        <v>185</v>
      </c>
      <c r="AA291" s="179">
        <v>0.99</v>
      </c>
    </row>
    <row r="292" spans="1:27" ht="12.75">
      <c r="A292" s="535"/>
      <c r="B292" s="148"/>
      <c r="C292" s="89"/>
      <c r="D292" s="248" t="s">
        <v>29</v>
      </c>
      <c r="E292" s="221" t="s">
        <v>30</v>
      </c>
      <c r="F292" s="139" t="s">
        <v>272</v>
      </c>
      <c r="G292" s="259">
        <v>0</v>
      </c>
      <c r="H292" s="171">
        <v>3.28</v>
      </c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80"/>
      <c r="T292" s="180"/>
      <c r="U292" s="180"/>
      <c r="V292" s="180"/>
      <c r="W292" s="180"/>
      <c r="X292" s="180"/>
      <c r="Y292" s="181" t="s">
        <v>61</v>
      </c>
      <c r="Z292" s="178" t="s">
        <v>185</v>
      </c>
      <c r="AA292" s="179">
        <v>1.1</v>
      </c>
    </row>
    <row r="293" spans="1:27" ht="12.75">
      <c r="A293" s="535"/>
      <c r="B293" s="148"/>
      <c r="C293" s="89"/>
      <c r="D293" s="248" t="s">
        <v>31</v>
      </c>
      <c r="E293" s="221" t="s">
        <v>32</v>
      </c>
      <c r="F293" s="139" t="s">
        <v>272</v>
      </c>
      <c r="G293" s="259">
        <v>0</v>
      </c>
      <c r="H293" s="171">
        <v>3.28</v>
      </c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80"/>
      <c r="T293" s="180"/>
      <c r="U293" s="180"/>
      <c r="V293" s="180"/>
      <c r="W293" s="180"/>
      <c r="X293" s="180"/>
      <c r="Y293" s="178" t="s">
        <v>62</v>
      </c>
      <c r="Z293" s="178" t="s">
        <v>63</v>
      </c>
      <c r="AA293" s="179">
        <v>2.12</v>
      </c>
    </row>
    <row r="294" spans="1:27" ht="12.75">
      <c r="A294" s="535"/>
      <c r="B294" s="170"/>
      <c r="C294" s="247"/>
      <c r="D294" s="249" t="s">
        <v>33</v>
      </c>
      <c r="E294" s="223" t="s">
        <v>34</v>
      </c>
      <c r="F294" s="139" t="s">
        <v>272</v>
      </c>
      <c r="G294" s="259">
        <v>0</v>
      </c>
      <c r="H294" s="171">
        <v>3.28</v>
      </c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82"/>
      <c r="T294" s="182"/>
      <c r="U294" s="182"/>
      <c r="V294" s="180"/>
      <c r="W294" s="182"/>
      <c r="X294" s="180"/>
      <c r="Y294" s="178" t="s">
        <v>66</v>
      </c>
      <c r="Z294" s="178" t="s">
        <v>20</v>
      </c>
      <c r="AA294" s="179">
        <v>2.46</v>
      </c>
    </row>
    <row r="295" spans="1:27" ht="12.75">
      <c r="A295" s="535"/>
      <c r="B295" s="258" t="s">
        <v>276</v>
      </c>
      <c r="C295" s="258"/>
      <c r="D295" s="258"/>
      <c r="E295" s="258"/>
      <c r="F295" s="258"/>
      <c r="G295" s="258"/>
      <c r="H295" s="9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75" t="s">
        <v>67</v>
      </c>
      <c r="T295" s="175" t="s">
        <v>68</v>
      </c>
      <c r="U295" s="186" t="s">
        <v>53</v>
      </c>
      <c r="V295" s="175" t="s">
        <v>18</v>
      </c>
      <c r="W295" s="188" t="s">
        <v>69</v>
      </c>
      <c r="X295" s="175" t="s">
        <v>54</v>
      </c>
      <c r="Y295" s="178" t="s">
        <v>151</v>
      </c>
      <c r="Z295" s="178" t="s">
        <v>186</v>
      </c>
      <c r="AA295" s="179">
        <v>3.48</v>
      </c>
    </row>
    <row r="296" spans="1:27" ht="12.75">
      <c r="A296" s="535"/>
      <c r="B296" s="258" t="s">
        <v>277</v>
      </c>
      <c r="C296" s="258"/>
      <c r="D296" s="258"/>
      <c r="E296" s="258"/>
      <c r="F296" s="258"/>
      <c r="G296" s="258"/>
      <c r="H296" s="98"/>
      <c r="I296" s="258"/>
      <c r="J296" s="262"/>
      <c r="K296" s="258"/>
      <c r="L296" s="258"/>
      <c r="M296" s="258"/>
      <c r="N296" s="258"/>
      <c r="O296" s="258"/>
      <c r="P296" s="258"/>
      <c r="Q296" s="258"/>
      <c r="R296" s="258"/>
      <c r="S296" s="180"/>
      <c r="T296" s="182"/>
      <c r="U296" s="189"/>
      <c r="V296" s="182"/>
      <c r="W296" s="190"/>
      <c r="X296" s="191" t="s">
        <v>2</v>
      </c>
      <c r="Y296" s="178" t="s">
        <v>151</v>
      </c>
      <c r="Z296" s="178" t="s">
        <v>186</v>
      </c>
      <c r="AA296" s="179">
        <v>3.28</v>
      </c>
    </row>
    <row r="297" spans="1:27" ht="12.75">
      <c r="A297" s="535"/>
      <c r="B297" s="258" t="s">
        <v>278</v>
      </c>
      <c r="C297" s="258"/>
      <c r="D297" s="258"/>
      <c r="E297" s="258"/>
      <c r="F297" s="258"/>
      <c r="G297" s="258"/>
      <c r="H297" s="98"/>
      <c r="I297" s="258"/>
      <c r="J297" s="262"/>
      <c r="K297" s="258"/>
      <c r="L297" s="258"/>
      <c r="M297" s="258"/>
      <c r="N297" s="258"/>
      <c r="O297" s="258"/>
      <c r="P297" s="258"/>
      <c r="Q297" s="258"/>
      <c r="R297" s="258"/>
      <c r="S297" s="175" t="s">
        <v>37</v>
      </c>
      <c r="T297" s="192" t="s">
        <v>70</v>
      </c>
      <c r="U297" s="180" t="s">
        <v>71</v>
      </c>
      <c r="V297" s="180" t="s">
        <v>18</v>
      </c>
      <c r="W297" s="157" t="s">
        <v>72</v>
      </c>
      <c r="X297" s="187" t="s">
        <v>54</v>
      </c>
      <c r="Y297" s="184" t="s">
        <v>66</v>
      </c>
      <c r="Z297" s="184" t="s">
        <v>40</v>
      </c>
      <c r="AA297" s="179">
        <v>10.28</v>
      </c>
    </row>
    <row r="298" spans="2:27" ht="12.75">
      <c r="B298" s="258"/>
      <c r="C298" s="258"/>
      <c r="D298" s="258"/>
      <c r="E298" s="258"/>
      <c r="F298" s="258"/>
      <c r="G298" s="258"/>
      <c r="H298" s="98"/>
      <c r="I298" s="258"/>
      <c r="J298" s="262"/>
      <c r="K298" s="258"/>
      <c r="L298" s="258"/>
      <c r="M298" s="258"/>
      <c r="N298" s="258"/>
      <c r="O298" s="258"/>
      <c r="P298" s="258"/>
      <c r="Q298" s="258"/>
      <c r="R298" s="258"/>
      <c r="S298" s="180"/>
      <c r="T298" s="192"/>
      <c r="U298" s="180" t="s">
        <v>152</v>
      </c>
      <c r="V298" s="180"/>
      <c r="W298" s="180"/>
      <c r="X298" s="3" t="s">
        <v>2</v>
      </c>
      <c r="Y298" s="178" t="s">
        <v>66</v>
      </c>
      <c r="Z298" s="178" t="s">
        <v>40</v>
      </c>
      <c r="AA298" s="179">
        <v>10.26</v>
      </c>
    </row>
    <row r="299" spans="2:27" ht="12.75">
      <c r="B299" s="258"/>
      <c r="C299" s="258"/>
      <c r="D299" s="258"/>
      <c r="E299" s="258"/>
      <c r="F299" s="258"/>
      <c r="G299" s="258"/>
      <c r="H299" s="98"/>
      <c r="I299" s="258"/>
      <c r="J299" s="262"/>
      <c r="K299" s="258"/>
      <c r="L299" s="258"/>
      <c r="M299" s="258"/>
      <c r="N299" s="258"/>
      <c r="O299" s="258"/>
      <c r="P299" s="258"/>
      <c r="Q299" s="258"/>
      <c r="R299" s="258"/>
      <c r="S299" s="180"/>
      <c r="T299" s="193" t="s">
        <v>70</v>
      </c>
      <c r="U299" s="175" t="s">
        <v>71</v>
      </c>
      <c r="V299" s="175" t="s">
        <v>18</v>
      </c>
      <c r="W299" s="155" t="s">
        <v>72</v>
      </c>
      <c r="X299" s="3" t="s">
        <v>54</v>
      </c>
      <c r="Y299" s="178" t="s">
        <v>66</v>
      </c>
      <c r="Z299" s="178" t="s">
        <v>40</v>
      </c>
      <c r="AA299" s="179">
        <v>10.75</v>
      </c>
    </row>
    <row r="300" spans="1:27" ht="15.75">
      <c r="A300" s="535"/>
      <c r="B300" s="97" t="s">
        <v>311</v>
      </c>
      <c r="C300" s="258"/>
      <c r="D300" s="98"/>
      <c r="E300" s="98"/>
      <c r="F300" s="98"/>
      <c r="G300" s="98"/>
      <c r="H300" s="98"/>
      <c r="I300" s="258"/>
      <c r="J300" s="262"/>
      <c r="K300" s="258"/>
      <c r="L300" s="258"/>
      <c r="M300" s="258"/>
      <c r="N300" s="258"/>
      <c r="O300" s="258"/>
      <c r="P300" s="258"/>
      <c r="Q300" s="258"/>
      <c r="R300" s="258"/>
      <c r="S300" s="180"/>
      <c r="T300" s="194"/>
      <c r="U300" s="182" t="s">
        <v>245</v>
      </c>
      <c r="V300" s="182"/>
      <c r="W300" s="182"/>
      <c r="X300" s="3" t="s">
        <v>2</v>
      </c>
      <c r="Y300" s="178" t="s">
        <v>66</v>
      </c>
      <c r="Z300" s="178" t="s">
        <v>40</v>
      </c>
      <c r="AA300" s="179">
        <v>10.97</v>
      </c>
    </row>
    <row r="301" spans="1:27" ht="12.75">
      <c r="A301" s="535"/>
      <c r="B301" s="258"/>
      <c r="C301" s="258"/>
      <c r="D301" s="258"/>
      <c r="E301" s="258"/>
      <c r="F301" s="98"/>
      <c r="G301" s="930" t="s">
        <v>307</v>
      </c>
      <c r="H301" s="931"/>
      <c r="I301" s="930" t="s">
        <v>308</v>
      </c>
      <c r="J301" s="931"/>
      <c r="K301" s="930" t="s">
        <v>309</v>
      </c>
      <c r="L301" s="931"/>
      <c r="M301" s="932" t="s">
        <v>310</v>
      </c>
      <c r="N301" s="933"/>
      <c r="O301" s="258"/>
      <c r="P301" s="258"/>
      <c r="Q301" s="258"/>
      <c r="R301" s="258"/>
      <c r="S301" s="180"/>
      <c r="T301" s="192" t="s">
        <v>177</v>
      </c>
      <c r="U301" s="180" t="s">
        <v>71</v>
      </c>
      <c r="V301" s="180" t="s">
        <v>18</v>
      </c>
      <c r="W301" s="157" t="s">
        <v>187</v>
      </c>
      <c r="X301" s="187" t="s">
        <v>54</v>
      </c>
      <c r="Y301" s="184" t="s">
        <v>66</v>
      </c>
      <c r="Z301" s="184" t="s">
        <v>40</v>
      </c>
      <c r="AA301" s="179">
        <v>10.75</v>
      </c>
    </row>
    <row r="302" spans="1:27" ht="12.75">
      <c r="A302" s="535"/>
      <c r="B302" s="169" t="s">
        <v>6</v>
      </c>
      <c r="C302" s="169" t="s">
        <v>3</v>
      </c>
      <c r="D302" s="169" t="s">
        <v>4</v>
      </c>
      <c r="E302" s="169" t="s">
        <v>7</v>
      </c>
      <c r="F302" s="169" t="s">
        <v>49</v>
      </c>
      <c r="G302" s="169" t="s">
        <v>1</v>
      </c>
      <c r="H302" s="169" t="s">
        <v>2</v>
      </c>
      <c r="I302" s="169" t="s">
        <v>1</v>
      </c>
      <c r="J302" s="169" t="s">
        <v>2</v>
      </c>
      <c r="K302" s="169" t="s">
        <v>1</v>
      </c>
      <c r="L302" s="169" t="s">
        <v>2</v>
      </c>
      <c r="M302" s="169" t="s">
        <v>1</v>
      </c>
      <c r="N302" s="169" t="s">
        <v>2</v>
      </c>
      <c r="O302" s="258"/>
      <c r="P302" s="258"/>
      <c r="Q302" s="258"/>
      <c r="R302" s="258"/>
      <c r="S302" s="180"/>
      <c r="T302" s="192"/>
      <c r="U302" s="180" t="s">
        <v>152</v>
      </c>
      <c r="V302" s="180"/>
      <c r="W302" s="180"/>
      <c r="X302" s="3" t="s">
        <v>2</v>
      </c>
      <c r="Y302" s="178" t="s">
        <v>66</v>
      </c>
      <c r="Z302" s="178" t="s">
        <v>40</v>
      </c>
      <c r="AA302" s="179">
        <v>10.97</v>
      </c>
    </row>
    <row r="303" spans="1:27" ht="12.75">
      <c r="A303" s="535"/>
      <c r="B303" s="201"/>
      <c r="C303" s="201"/>
      <c r="D303" s="201"/>
      <c r="E303" s="201" t="s">
        <v>86</v>
      </c>
      <c r="F303" s="201" t="s">
        <v>304</v>
      </c>
      <c r="G303" s="225" t="s">
        <v>280</v>
      </c>
      <c r="H303" s="225" t="s">
        <v>285</v>
      </c>
      <c r="I303" s="225" t="s">
        <v>280</v>
      </c>
      <c r="J303" s="225" t="s">
        <v>285</v>
      </c>
      <c r="K303" s="225" t="s">
        <v>280</v>
      </c>
      <c r="L303" s="225" t="s">
        <v>285</v>
      </c>
      <c r="M303" s="225" t="s">
        <v>280</v>
      </c>
      <c r="N303" s="225" t="s">
        <v>285</v>
      </c>
      <c r="O303" s="258"/>
      <c r="P303" s="258"/>
      <c r="Q303" s="258"/>
      <c r="R303" s="258"/>
      <c r="S303" s="180"/>
      <c r="T303" s="193" t="s">
        <v>177</v>
      </c>
      <c r="U303" s="175" t="s">
        <v>71</v>
      </c>
      <c r="V303" s="175" t="s">
        <v>18</v>
      </c>
      <c r="W303" s="155" t="s">
        <v>187</v>
      </c>
      <c r="X303" s="3" t="s">
        <v>54</v>
      </c>
      <c r="Y303" s="178" t="s">
        <v>66</v>
      </c>
      <c r="Z303" s="178" t="s">
        <v>40</v>
      </c>
      <c r="AA303" s="179">
        <v>11.46</v>
      </c>
    </row>
    <row r="304" spans="1:27" ht="12.75">
      <c r="A304" s="535"/>
      <c r="B304" s="198" t="s">
        <v>11</v>
      </c>
      <c r="C304" s="198" t="s">
        <v>9</v>
      </c>
      <c r="D304" s="198" t="s">
        <v>10</v>
      </c>
      <c r="E304" s="155" t="s">
        <v>12</v>
      </c>
      <c r="F304" s="141" t="s">
        <v>87</v>
      </c>
      <c r="G304" s="145">
        <v>0.87</v>
      </c>
      <c r="H304" s="145">
        <v>0.78</v>
      </c>
      <c r="I304" s="145">
        <v>0.92</v>
      </c>
      <c r="J304" s="145">
        <v>0.83</v>
      </c>
      <c r="K304" s="145">
        <v>1.08</v>
      </c>
      <c r="L304" s="145">
        <v>0.99</v>
      </c>
      <c r="M304" s="145">
        <v>1.13</v>
      </c>
      <c r="N304" s="145">
        <v>1.04</v>
      </c>
      <c r="O304" s="258"/>
      <c r="P304" s="258"/>
      <c r="Q304" s="258"/>
      <c r="R304" s="258"/>
      <c r="S304" s="182"/>
      <c r="T304" s="194"/>
      <c r="U304" s="182" t="s">
        <v>245</v>
      </c>
      <c r="V304" s="182"/>
      <c r="W304" s="182"/>
      <c r="X304" s="3" t="s">
        <v>2</v>
      </c>
      <c r="Y304" s="178" t="s">
        <v>66</v>
      </c>
      <c r="Z304" s="178" t="s">
        <v>40</v>
      </c>
      <c r="AA304" s="179">
        <v>11.47</v>
      </c>
    </row>
    <row r="305" spans="1:27" ht="12.75">
      <c r="A305" s="535"/>
      <c r="B305" s="260"/>
      <c r="C305" s="260"/>
      <c r="D305" s="263"/>
      <c r="E305" s="263"/>
      <c r="F305" s="141" t="s">
        <v>88</v>
      </c>
      <c r="G305" s="145">
        <v>0.87</v>
      </c>
      <c r="H305" s="145">
        <v>0.78</v>
      </c>
      <c r="I305" s="145">
        <v>0.92</v>
      </c>
      <c r="J305" s="145">
        <v>0.83</v>
      </c>
      <c r="K305" s="145">
        <v>1.08</v>
      </c>
      <c r="L305" s="145">
        <v>0.99</v>
      </c>
      <c r="M305" s="145">
        <v>1.13</v>
      </c>
      <c r="N305" s="145">
        <v>1.04</v>
      </c>
      <c r="O305" s="258"/>
      <c r="P305" s="258"/>
      <c r="Q305" s="258"/>
      <c r="R305" s="258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535"/>
      <c r="B306" s="148"/>
      <c r="C306" s="148"/>
      <c r="D306" s="198" t="s">
        <v>14</v>
      </c>
      <c r="E306" s="155" t="s">
        <v>15</v>
      </c>
      <c r="F306" s="141" t="s">
        <v>87</v>
      </c>
      <c r="G306" s="145">
        <v>0.87</v>
      </c>
      <c r="H306" s="145">
        <v>0.78</v>
      </c>
      <c r="I306" s="145">
        <v>0.92</v>
      </c>
      <c r="J306" s="145">
        <v>0.83</v>
      </c>
      <c r="K306" s="145">
        <v>1.08</v>
      </c>
      <c r="L306" s="145">
        <v>0.99</v>
      </c>
      <c r="M306" s="145">
        <v>1.13</v>
      </c>
      <c r="N306" s="145">
        <v>1.04</v>
      </c>
      <c r="O306" s="258"/>
      <c r="P306" s="258"/>
      <c r="Q306" s="258"/>
      <c r="R306" s="258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535"/>
      <c r="B307" s="263"/>
      <c r="C307" s="263"/>
      <c r="D307" s="263"/>
      <c r="E307" s="154"/>
      <c r="F307" s="141" t="s">
        <v>88</v>
      </c>
      <c r="G307" s="145">
        <v>0.87</v>
      </c>
      <c r="H307" s="145">
        <v>0.78</v>
      </c>
      <c r="I307" s="145">
        <v>0.92</v>
      </c>
      <c r="J307" s="145">
        <v>0.83</v>
      </c>
      <c r="K307" s="145">
        <v>1.08</v>
      </c>
      <c r="L307" s="145">
        <v>0.99</v>
      </c>
      <c r="M307" s="145">
        <v>1.13</v>
      </c>
      <c r="N307" s="145">
        <v>1.04</v>
      </c>
      <c r="O307" s="258"/>
      <c r="P307" s="258"/>
      <c r="Q307" s="258"/>
      <c r="R307" s="258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535"/>
      <c r="B308" s="198" t="s">
        <v>18</v>
      </c>
      <c r="C308" s="198" t="s">
        <v>16</v>
      </c>
      <c r="D308" s="156" t="s">
        <v>17</v>
      </c>
      <c r="E308" s="144" t="s">
        <v>19</v>
      </c>
      <c r="F308" s="156" t="s">
        <v>60</v>
      </c>
      <c r="G308" s="145">
        <v>1.04</v>
      </c>
      <c r="H308" s="145">
        <v>0.99</v>
      </c>
      <c r="I308" s="145">
        <v>1.04</v>
      </c>
      <c r="J308" s="145">
        <v>0.99</v>
      </c>
      <c r="K308" s="145">
        <v>1.16</v>
      </c>
      <c r="L308" s="145">
        <v>1.1</v>
      </c>
      <c r="M308" s="145">
        <v>1.16</v>
      </c>
      <c r="N308" s="145">
        <v>1.1</v>
      </c>
      <c r="O308" s="258"/>
      <c r="P308" s="258"/>
      <c r="Q308" s="258"/>
      <c r="R308" s="258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535"/>
      <c r="B309" s="170"/>
      <c r="C309" s="170"/>
      <c r="D309" s="156" t="s">
        <v>21</v>
      </c>
      <c r="E309" s="93" t="s">
        <v>22</v>
      </c>
      <c r="F309" s="156" t="s">
        <v>60</v>
      </c>
      <c r="G309" s="145">
        <v>1.04</v>
      </c>
      <c r="H309" s="145">
        <v>0.99</v>
      </c>
      <c r="I309" s="145">
        <v>1.04</v>
      </c>
      <c r="J309" s="145">
        <v>0.99</v>
      </c>
      <c r="K309" s="145">
        <v>1.16</v>
      </c>
      <c r="L309" s="145">
        <v>1.1</v>
      </c>
      <c r="M309" s="145">
        <v>1.16</v>
      </c>
      <c r="N309" s="145">
        <v>1.1</v>
      </c>
      <c r="O309" s="258"/>
      <c r="P309" s="258"/>
      <c r="Q309" s="258"/>
      <c r="R309" s="258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535"/>
      <c r="B310" s="258" t="s">
        <v>281</v>
      </c>
      <c r="C310" s="258"/>
      <c r="D310" s="258"/>
      <c r="E310" s="258"/>
      <c r="F310" s="258"/>
      <c r="G310" s="258"/>
      <c r="H310" s="9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535"/>
      <c r="B311" s="258" t="s">
        <v>284</v>
      </c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>
      <c r="B312" s="258"/>
      <c r="C312" s="258"/>
      <c r="D312" s="258"/>
      <c r="E312" s="258"/>
      <c r="F312" s="258"/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>
      <c r="A313" s="535"/>
      <c r="B313" s="97" t="s">
        <v>312</v>
      </c>
      <c r="C313" s="258"/>
      <c r="D313" s="258"/>
      <c r="E313" s="258"/>
      <c r="F313" s="258"/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535"/>
      <c r="B314" s="258"/>
      <c r="C314" s="258"/>
      <c r="D314" s="98"/>
      <c r="E314" s="98"/>
      <c r="F314" s="98"/>
      <c r="G314" s="98"/>
      <c r="H314" s="98"/>
      <c r="I314" s="932" t="s">
        <v>307</v>
      </c>
      <c r="J314" s="933"/>
      <c r="K314" s="932" t="s">
        <v>308</v>
      </c>
      <c r="L314" s="933"/>
      <c r="M314" s="932" t="s">
        <v>309</v>
      </c>
      <c r="N314" s="933"/>
      <c r="O314" s="932" t="s">
        <v>310</v>
      </c>
      <c r="P314" s="933"/>
      <c r="Q314" s="258"/>
      <c r="R314" s="258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535"/>
      <c r="B315" s="169" t="s">
        <v>6</v>
      </c>
      <c r="C315" s="164" t="s">
        <v>3</v>
      </c>
      <c r="D315" s="169" t="s">
        <v>4</v>
      </c>
      <c r="E315" s="169" t="s">
        <v>7</v>
      </c>
      <c r="F315" s="169" t="s">
        <v>49</v>
      </c>
      <c r="G315" s="169" t="s">
        <v>1</v>
      </c>
      <c r="H315" s="169" t="s">
        <v>2</v>
      </c>
      <c r="I315" s="169" t="s">
        <v>1</v>
      </c>
      <c r="J315" s="169" t="s">
        <v>2</v>
      </c>
      <c r="K315" s="169" t="s">
        <v>1</v>
      </c>
      <c r="L315" s="169" t="s">
        <v>2</v>
      </c>
      <c r="M315" s="169" t="s">
        <v>1</v>
      </c>
      <c r="N315" s="169" t="s">
        <v>2</v>
      </c>
      <c r="O315" s="169" t="s">
        <v>1</v>
      </c>
      <c r="P315" s="169" t="s">
        <v>2</v>
      </c>
      <c r="Q315" s="258"/>
      <c r="R315" s="258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535"/>
      <c r="B316" s="245"/>
      <c r="C316" s="246"/>
      <c r="D316" s="245"/>
      <c r="E316" s="245" t="s">
        <v>86</v>
      </c>
      <c r="F316" s="245" t="s">
        <v>304</v>
      </c>
      <c r="G316" s="225" t="s">
        <v>280</v>
      </c>
      <c r="H316" s="245" t="s">
        <v>285</v>
      </c>
      <c r="I316" s="225" t="s">
        <v>280</v>
      </c>
      <c r="J316" s="225" t="s">
        <v>274</v>
      </c>
      <c r="K316" s="225" t="s">
        <v>280</v>
      </c>
      <c r="L316" s="225" t="s">
        <v>274</v>
      </c>
      <c r="M316" s="225" t="s">
        <v>280</v>
      </c>
      <c r="N316" s="225" t="s">
        <v>274</v>
      </c>
      <c r="O316" s="225" t="s">
        <v>280</v>
      </c>
      <c r="P316" s="225" t="s">
        <v>274</v>
      </c>
      <c r="Q316" s="258"/>
      <c r="R316" s="258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535"/>
      <c r="B317" s="198" t="s">
        <v>18</v>
      </c>
      <c r="C317" s="231" t="s">
        <v>16</v>
      </c>
      <c r="D317" s="198" t="s">
        <v>17</v>
      </c>
      <c r="E317" s="155" t="s">
        <v>19</v>
      </c>
      <c r="F317" s="139" t="s">
        <v>63</v>
      </c>
      <c r="G317" s="171">
        <v>2.18</v>
      </c>
      <c r="H317" s="171">
        <v>2.12</v>
      </c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535"/>
      <c r="B318" s="148"/>
      <c r="C318" s="89"/>
      <c r="D318" s="148"/>
      <c r="E318" s="157"/>
      <c r="F318" s="139" t="s">
        <v>60</v>
      </c>
      <c r="G318" s="259">
        <v>0</v>
      </c>
      <c r="H318" s="259">
        <v>0</v>
      </c>
      <c r="I318" s="171">
        <v>1.04</v>
      </c>
      <c r="J318" s="171">
        <v>0.99</v>
      </c>
      <c r="K318" s="171">
        <v>1.04</v>
      </c>
      <c r="L318" s="171">
        <v>0.99</v>
      </c>
      <c r="M318" s="171">
        <v>1.16</v>
      </c>
      <c r="N318" s="171">
        <v>1.1</v>
      </c>
      <c r="O318" s="171">
        <v>1.16</v>
      </c>
      <c r="P318" s="171">
        <v>1.1</v>
      </c>
      <c r="Q318" s="258"/>
      <c r="R318" s="258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535"/>
      <c r="B319" s="148"/>
      <c r="C319" s="89"/>
      <c r="D319" s="148"/>
      <c r="E319" s="157"/>
      <c r="F319" s="139" t="s">
        <v>56</v>
      </c>
      <c r="G319" s="171">
        <v>0.54</v>
      </c>
      <c r="H319" s="171">
        <v>0.48</v>
      </c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535"/>
      <c r="B320" s="148"/>
      <c r="C320" s="89"/>
      <c r="D320" s="148"/>
      <c r="E320" s="157"/>
      <c r="F320" s="139" t="s">
        <v>272</v>
      </c>
      <c r="G320" s="171">
        <v>2.51</v>
      </c>
      <c r="H320" s="171">
        <v>2.46</v>
      </c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535"/>
      <c r="B321" s="148"/>
      <c r="C321" s="89"/>
      <c r="D321" s="248" t="s">
        <v>21</v>
      </c>
      <c r="E321" s="221" t="s">
        <v>22</v>
      </c>
      <c r="F321" s="139" t="s">
        <v>63</v>
      </c>
      <c r="G321" s="171">
        <v>2.18</v>
      </c>
      <c r="H321" s="171">
        <v>2.12</v>
      </c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535"/>
      <c r="B322" s="148"/>
      <c r="C322" s="89"/>
      <c r="D322" s="148"/>
      <c r="E322" s="157"/>
      <c r="F322" s="139" t="s">
        <v>60</v>
      </c>
      <c r="G322" s="259">
        <v>0</v>
      </c>
      <c r="H322" s="259">
        <v>0</v>
      </c>
      <c r="I322" s="171">
        <v>1.04</v>
      </c>
      <c r="J322" s="171">
        <v>0.99</v>
      </c>
      <c r="K322" s="171">
        <v>1.04</v>
      </c>
      <c r="L322" s="171">
        <v>0.99</v>
      </c>
      <c r="M322" s="171">
        <v>1.16</v>
      </c>
      <c r="N322" s="171">
        <v>1.1</v>
      </c>
      <c r="O322" s="171">
        <v>1.16</v>
      </c>
      <c r="P322" s="171">
        <v>1.1</v>
      </c>
      <c r="Q322" s="258"/>
      <c r="R322" s="258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535"/>
      <c r="B323" s="148"/>
      <c r="C323" s="89"/>
      <c r="D323" s="148"/>
      <c r="E323" s="157"/>
      <c r="F323" s="139" t="s">
        <v>56</v>
      </c>
      <c r="G323" s="171">
        <v>0.54</v>
      </c>
      <c r="H323" s="171">
        <v>0.48</v>
      </c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535"/>
      <c r="B324" s="148"/>
      <c r="C324" s="89"/>
      <c r="D324" s="148"/>
      <c r="E324" s="157"/>
      <c r="F324" s="139" t="s">
        <v>272</v>
      </c>
      <c r="G324" s="171">
        <v>2.51</v>
      </c>
      <c r="H324" s="171">
        <v>2.46</v>
      </c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535"/>
      <c r="B325" s="148"/>
      <c r="C325" s="231" t="s">
        <v>23</v>
      </c>
      <c r="D325" s="198" t="s">
        <v>24</v>
      </c>
      <c r="E325" s="155" t="s">
        <v>25</v>
      </c>
      <c r="F325" s="261" t="s">
        <v>273</v>
      </c>
      <c r="G325" s="171">
        <v>3.49</v>
      </c>
      <c r="H325" s="171">
        <v>3.28</v>
      </c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535"/>
      <c r="B326" s="148"/>
      <c r="C326" s="231" t="s">
        <v>26</v>
      </c>
      <c r="D326" s="198" t="s">
        <v>27</v>
      </c>
      <c r="E326" s="155" t="s">
        <v>28</v>
      </c>
      <c r="F326" s="139" t="s">
        <v>272</v>
      </c>
      <c r="G326" s="171">
        <v>3.49</v>
      </c>
      <c r="H326" s="171">
        <v>3.28</v>
      </c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535"/>
      <c r="B327" s="148"/>
      <c r="C327" s="89"/>
      <c r="D327" s="248" t="s">
        <v>29</v>
      </c>
      <c r="E327" s="221" t="s">
        <v>30</v>
      </c>
      <c r="F327" s="139" t="s">
        <v>272</v>
      </c>
      <c r="G327" s="259">
        <v>0</v>
      </c>
      <c r="H327" s="171">
        <v>3.28</v>
      </c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535"/>
      <c r="B328" s="148"/>
      <c r="C328" s="89"/>
      <c r="D328" s="248" t="s">
        <v>31</v>
      </c>
      <c r="E328" s="221" t="s">
        <v>32</v>
      </c>
      <c r="F328" s="139" t="s">
        <v>272</v>
      </c>
      <c r="G328" s="259">
        <v>0</v>
      </c>
      <c r="H328" s="171">
        <v>3.28</v>
      </c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535"/>
      <c r="B329" s="170"/>
      <c r="C329" s="247"/>
      <c r="D329" s="249" t="s">
        <v>33</v>
      </c>
      <c r="E329" s="223" t="s">
        <v>34</v>
      </c>
      <c r="F329" s="139" t="s">
        <v>272</v>
      </c>
      <c r="G329" s="259">
        <v>0</v>
      </c>
      <c r="H329" s="171">
        <v>3.28</v>
      </c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535"/>
      <c r="B330" s="258" t="s">
        <v>283</v>
      </c>
      <c r="C330" s="258"/>
      <c r="D330" s="258"/>
      <c r="E330" s="258"/>
      <c r="F330" s="258"/>
      <c r="G330" s="258"/>
      <c r="H330" s="258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535"/>
      <c r="B331" s="258" t="s">
        <v>284</v>
      </c>
      <c r="C331" s="258"/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>
      <c r="B332" s="258"/>
      <c r="C332" s="258"/>
      <c r="D332" s="258"/>
      <c r="E332" s="258"/>
      <c r="F332" s="258"/>
      <c r="G332" s="258"/>
      <c r="H332" s="258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>
      <c r="B333" s="258"/>
      <c r="C333" s="258"/>
      <c r="D333" s="258"/>
      <c r="E333" s="258"/>
      <c r="F333" s="258"/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>
      <c r="A334" s="535"/>
      <c r="B334" s="97" t="s">
        <v>313</v>
      </c>
      <c r="C334" s="258"/>
      <c r="D334" s="98"/>
      <c r="E334" s="98"/>
      <c r="F334" s="98"/>
      <c r="G334" s="98"/>
      <c r="H334" s="9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535"/>
      <c r="B335" s="258"/>
      <c r="C335" s="258"/>
      <c r="D335" s="258"/>
      <c r="E335" s="258"/>
      <c r="F335" s="258"/>
      <c r="G335" s="930" t="s">
        <v>307</v>
      </c>
      <c r="H335" s="931"/>
      <c r="I335" s="930" t="s">
        <v>308</v>
      </c>
      <c r="J335" s="931"/>
      <c r="K335" s="930" t="s">
        <v>309</v>
      </c>
      <c r="L335" s="931"/>
      <c r="M335" s="932" t="s">
        <v>310</v>
      </c>
      <c r="N335" s="933"/>
      <c r="O335" s="258"/>
      <c r="P335" s="258"/>
      <c r="Q335" s="258"/>
      <c r="R335" s="258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535"/>
      <c r="B336" s="169" t="s">
        <v>6</v>
      </c>
      <c r="C336" s="169" t="s">
        <v>3</v>
      </c>
      <c r="D336" s="169" t="s">
        <v>4</v>
      </c>
      <c r="E336" s="169" t="s">
        <v>7</v>
      </c>
      <c r="F336" s="169" t="s">
        <v>49</v>
      </c>
      <c r="G336" s="169" t="s">
        <v>1</v>
      </c>
      <c r="H336" s="169" t="s">
        <v>2</v>
      </c>
      <c r="I336" s="169" t="s">
        <v>1</v>
      </c>
      <c r="J336" s="169" t="s">
        <v>2</v>
      </c>
      <c r="K336" s="169" t="s">
        <v>1</v>
      </c>
      <c r="L336" s="169" t="s">
        <v>2</v>
      </c>
      <c r="M336" s="169" t="s">
        <v>1</v>
      </c>
      <c r="N336" s="169" t="s">
        <v>2</v>
      </c>
      <c r="O336" s="258"/>
      <c r="P336" s="258"/>
      <c r="Q336" s="258"/>
      <c r="R336" s="258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>
      <c r="A337" s="535"/>
      <c r="B337" s="201"/>
      <c r="C337" s="201"/>
      <c r="D337" s="201"/>
      <c r="E337" s="201" t="s">
        <v>86</v>
      </c>
      <c r="F337" s="201" t="s">
        <v>304</v>
      </c>
      <c r="G337" s="225" t="s">
        <v>280</v>
      </c>
      <c r="H337" s="225" t="s">
        <v>285</v>
      </c>
      <c r="I337" s="225" t="s">
        <v>280</v>
      </c>
      <c r="J337" s="225" t="s">
        <v>285</v>
      </c>
      <c r="K337" s="225" t="s">
        <v>280</v>
      </c>
      <c r="L337" s="225" t="s">
        <v>285</v>
      </c>
      <c r="M337" s="225" t="s">
        <v>280</v>
      </c>
      <c r="N337" s="225" t="s">
        <v>285</v>
      </c>
      <c r="O337" s="258"/>
      <c r="P337" s="258"/>
      <c r="Q337" s="258"/>
      <c r="R337" s="258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535"/>
      <c r="B338" s="198" t="s">
        <v>18</v>
      </c>
      <c r="C338" s="198" t="s">
        <v>16</v>
      </c>
      <c r="D338" s="156" t="s">
        <v>17</v>
      </c>
      <c r="E338" s="144" t="s">
        <v>19</v>
      </c>
      <c r="F338" s="156" t="s">
        <v>60</v>
      </c>
      <c r="G338" s="145">
        <v>1.04</v>
      </c>
      <c r="H338" s="145">
        <v>0.99</v>
      </c>
      <c r="I338" s="145">
        <v>1.04</v>
      </c>
      <c r="J338" s="145">
        <v>0.99</v>
      </c>
      <c r="K338" s="145">
        <v>1.16</v>
      </c>
      <c r="L338" s="145">
        <v>1.1</v>
      </c>
      <c r="M338" s="145">
        <v>1.16</v>
      </c>
      <c r="N338" s="145">
        <v>1.1</v>
      </c>
      <c r="O338" s="258"/>
      <c r="P338" s="258"/>
      <c r="Q338" s="258"/>
      <c r="R338" s="258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535"/>
      <c r="B339" s="170"/>
      <c r="C339" s="170"/>
      <c r="D339" s="156" t="s">
        <v>21</v>
      </c>
      <c r="E339" s="93" t="s">
        <v>22</v>
      </c>
      <c r="F339" s="156" t="s">
        <v>60</v>
      </c>
      <c r="G339" s="145">
        <v>1.04</v>
      </c>
      <c r="H339" s="145">
        <v>0.99</v>
      </c>
      <c r="I339" s="145">
        <v>1.04</v>
      </c>
      <c r="J339" s="145">
        <v>0.99</v>
      </c>
      <c r="K339" s="145">
        <v>1.16</v>
      </c>
      <c r="L339" s="145">
        <v>1.1</v>
      </c>
      <c r="M339" s="145">
        <v>1.16</v>
      </c>
      <c r="N339" s="145">
        <v>1.1</v>
      </c>
      <c r="O339" s="258"/>
      <c r="P339" s="258"/>
      <c r="Q339" s="258"/>
      <c r="R339" s="258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535"/>
      <c r="B340" s="258" t="s">
        <v>281</v>
      </c>
      <c r="C340" s="258"/>
      <c r="D340" s="258"/>
      <c r="E340" s="258"/>
      <c r="F340" s="258"/>
      <c r="G340" s="258"/>
      <c r="H340" s="258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535"/>
      <c r="B341" s="258" t="s">
        <v>284</v>
      </c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>
      <c r="B342" s="258"/>
      <c r="C342" s="258"/>
      <c r="D342" s="258"/>
      <c r="E342" s="258"/>
      <c r="F342" s="258"/>
      <c r="G342" s="258"/>
      <c r="H342" s="258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>
      <c r="A343" s="535"/>
      <c r="B343" s="97" t="s">
        <v>314</v>
      </c>
      <c r="C343" s="258"/>
      <c r="D343" s="258"/>
      <c r="E343" s="258"/>
      <c r="F343" s="258"/>
      <c r="G343" s="258"/>
      <c r="H343" s="258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535"/>
      <c r="B344" s="258"/>
      <c r="C344" s="258"/>
      <c r="D344" s="98"/>
      <c r="E344" s="98"/>
      <c r="F344" s="98"/>
      <c r="G344" s="98"/>
      <c r="H344" s="9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535"/>
      <c r="B345" s="169" t="s">
        <v>6</v>
      </c>
      <c r="C345" s="164" t="s">
        <v>3</v>
      </c>
      <c r="D345" s="169" t="s">
        <v>4</v>
      </c>
      <c r="E345" s="169" t="s">
        <v>7</v>
      </c>
      <c r="F345" s="169" t="s">
        <v>49</v>
      </c>
      <c r="G345" s="169" t="s">
        <v>1</v>
      </c>
      <c r="H345" s="169" t="s">
        <v>2</v>
      </c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535"/>
      <c r="B346" s="245"/>
      <c r="C346" s="246"/>
      <c r="D346" s="245"/>
      <c r="E346" s="245" t="s">
        <v>86</v>
      </c>
      <c r="F346" s="245" t="s">
        <v>304</v>
      </c>
      <c r="G346" s="225" t="s">
        <v>274</v>
      </c>
      <c r="H346" s="245" t="s">
        <v>275</v>
      </c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535"/>
      <c r="B347" s="90" t="s">
        <v>11</v>
      </c>
      <c r="C347" s="198" t="s">
        <v>9</v>
      </c>
      <c r="D347" s="198" t="s">
        <v>10</v>
      </c>
      <c r="E347" s="155" t="s">
        <v>12</v>
      </c>
      <c r="F347" s="139" t="s">
        <v>149</v>
      </c>
      <c r="G347" s="171">
        <v>0.71</v>
      </c>
      <c r="H347" s="171">
        <v>0.62</v>
      </c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535"/>
      <c r="B348" s="264"/>
      <c r="C348" s="260"/>
      <c r="D348" s="260"/>
      <c r="E348" s="260"/>
      <c r="F348" s="139" t="s">
        <v>288</v>
      </c>
      <c r="G348" s="171">
        <v>0.71</v>
      </c>
      <c r="H348" s="171">
        <v>0.62</v>
      </c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535"/>
      <c r="B349" s="150"/>
      <c r="C349" s="148"/>
      <c r="D349" s="148"/>
      <c r="E349" s="157"/>
      <c r="F349" s="139" t="s">
        <v>150</v>
      </c>
      <c r="G349" s="171">
        <v>0.71</v>
      </c>
      <c r="H349" s="171">
        <v>0.62</v>
      </c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535"/>
      <c r="B350" s="264"/>
      <c r="C350" s="260"/>
      <c r="D350" s="260"/>
      <c r="E350" s="260"/>
      <c r="F350" s="139" t="s">
        <v>289</v>
      </c>
      <c r="G350" s="171">
        <v>0.71</v>
      </c>
      <c r="H350" s="171">
        <v>0.62</v>
      </c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535"/>
      <c r="B351" s="150"/>
      <c r="C351" s="148"/>
      <c r="D351" s="198" t="s">
        <v>14</v>
      </c>
      <c r="E351" s="155" t="s">
        <v>15</v>
      </c>
      <c r="F351" s="139" t="s">
        <v>149</v>
      </c>
      <c r="G351" s="171">
        <v>0.71</v>
      </c>
      <c r="H351" s="171">
        <v>0.62</v>
      </c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535"/>
      <c r="B352" s="137"/>
      <c r="C352" s="170"/>
      <c r="D352" s="170"/>
      <c r="E352" s="154"/>
      <c r="F352" s="139" t="s">
        <v>150</v>
      </c>
      <c r="G352" s="171">
        <v>0.71</v>
      </c>
      <c r="H352" s="171">
        <v>0.62</v>
      </c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535"/>
      <c r="B353" s="258" t="s">
        <v>276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535"/>
      <c r="B354" s="258" t="s">
        <v>277</v>
      </c>
      <c r="C354" s="258"/>
      <c r="D354" s="258"/>
      <c r="E354" s="258"/>
      <c r="F354" s="258"/>
      <c r="G354" s="258"/>
      <c r="H354" s="258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535"/>
      <c r="B355" s="258" t="s">
        <v>278</v>
      </c>
      <c r="C355" s="258"/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>
      <c r="B356" s="258"/>
      <c r="C356" s="258"/>
      <c r="D356" s="258"/>
      <c r="E356" s="258"/>
      <c r="F356" s="258"/>
      <c r="G356" s="258"/>
      <c r="H356" s="258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>
      <c r="B357" s="258"/>
      <c r="C357" s="258"/>
      <c r="D357" s="258"/>
      <c r="E357" s="258"/>
      <c r="F357" s="258"/>
      <c r="G357" s="258"/>
      <c r="H357" s="258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>
      <c r="A358" s="535"/>
      <c r="B358" s="97" t="s">
        <v>315</v>
      </c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258"/>
      <c r="N358" s="258"/>
      <c r="O358" s="258"/>
      <c r="P358" s="258"/>
      <c r="Q358" s="258"/>
      <c r="R358" s="258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535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258"/>
      <c r="N359" s="258"/>
      <c r="O359" s="258"/>
      <c r="P359" s="258"/>
      <c r="Q359" s="258"/>
      <c r="R359" s="258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535"/>
      <c r="B360" s="98"/>
      <c r="C360" s="98"/>
      <c r="D360" s="98"/>
      <c r="E360" s="98"/>
      <c r="F360" s="98"/>
      <c r="G360" s="161" t="s">
        <v>98</v>
      </c>
      <c r="H360" s="162"/>
      <c r="I360" s="163" t="s">
        <v>99</v>
      </c>
      <c r="J360" s="162"/>
      <c r="K360" s="163" t="s">
        <v>245</v>
      </c>
      <c r="L360" s="162"/>
      <c r="M360" s="258"/>
      <c r="N360" s="258"/>
      <c r="O360" s="258"/>
      <c r="P360" s="258"/>
      <c r="Q360" s="258"/>
      <c r="R360" s="258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535"/>
      <c r="B361" s="169" t="s">
        <v>6</v>
      </c>
      <c r="C361" s="169" t="s">
        <v>3</v>
      </c>
      <c r="D361" s="168" t="s">
        <v>4</v>
      </c>
      <c r="E361" s="169" t="s">
        <v>7</v>
      </c>
      <c r="F361" s="168" t="s">
        <v>49</v>
      </c>
      <c r="G361" s="169" t="s">
        <v>35</v>
      </c>
      <c r="H361" s="169" t="s">
        <v>36</v>
      </c>
      <c r="I361" s="169" t="s">
        <v>35</v>
      </c>
      <c r="J361" s="169" t="s">
        <v>36</v>
      </c>
      <c r="K361" s="169" t="s">
        <v>35</v>
      </c>
      <c r="L361" s="169" t="s">
        <v>36</v>
      </c>
      <c r="M361" s="258"/>
      <c r="N361" s="258"/>
      <c r="O361" s="258"/>
      <c r="P361" s="258"/>
      <c r="Q361" s="258"/>
      <c r="R361" s="258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535"/>
      <c r="B362" s="263"/>
      <c r="C362" s="263"/>
      <c r="D362" s="264"/>
      <c r="E362" s="265" t="s">
        <v>86</v>
      </c>
      <c r="F362" s="266" t="s">
        <v>304</v>
      </c>
      <c r="G362" s="263"/>
      <c r="H362" s="263"/>
      <c r="I362" s="263"/>
      <c r="J362" s="263"/>
      <c r="K362" s="263"/>
      <c r="L362" s="263"/>
      <c r="M362" s="258"/>
      <c r="N362" s="258"/>
      <c r="O362" s="258"/>
      <c r="P362" s="258"/>
      <c r="Q362" s="258"/>
      <c r="R362" s="258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535"/>
      <c r="B363" s="198" t="s">
        <v>18</v>
      </c>
      <c r="C363" s="198" t="s">
        <v>37</v>
      </c>
      <c r="D363" s="231" t="s">
        <v>38</v>
      </c>
      <c r="E363" s="155" t="s">
        <v>39</v>
      </c>
      <c r="F363" s="267" t="s">
        <v>291</v>
      </c>
      <c r="G363" s="171">
        <v>10.29</v>
      </c>
      <c r="H363" s="171">
        <v>10.27</v>
      </c>
      <c r="I363" s="171">
        <v>10.29</v>
      </c>
      <c r="J363" s="171">
        <v>10.27</v>
      </c>
      <c r="K363" s="171">
        <v>10.76</v>
      </c>
      <c r="L363" s="171">
        <v>10.98</v>
      </c>
      <c r="M363" s="258"/>
      <c r="N363" s="258"/>
      <c r="O363" s="258"/>
      <c r="P363" s="258"/>
      <c r="Q363" s="258"/>
      <c r="R363" s="258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535"/>
      <c r="B364" s="148"/>
      <c r="C364" s="148"/>
      <c r="D364" s="231" t="s">
        <v>41</v>
      </c>
      <c r="E364" s="155" t="s">
        <v>42</v>
      </c>
      <c r="F364" s="267" t="s">
        <v>291</v>
      </c>
      <c r="G364" s="171">
        <v>10.29</v>
      </c>
      <c r="H364" s="171">
        <v>10.27</v>
      </c>
      <c r="I364" s="171">
        <v>10.29</v>
      </c>
      <c r="J364" s="171">
        <v>10.27</v>
      </c>
      <c r="K364" s="171">
        <v>10.76</v>
      </c>
      <c r="L364" s="171">
        <v>10.98</v>
      </c>
      <c r="M364" s="258"/>
      <c r="N364" s="258"/>
      <c r="O364" s="258"/>
      <c r="P364" s="258"/>
      <c r="Q364" s="258"/>
      <c r="R364" s="258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535"/>
      <c r="B365" s="148"/>
      <c r="C365" s="148"/>
      <c r="D365" s="231" t="s">
        <v>43</v>
      </c>
      <c r="E365" s="155" t="s">
        <v>44</v>
      </c>
      <c r="F365" s="267" t="s">
        <v>291</v>
      </c>
      <c r="G365" s="171">
        <v>10.29</v>
      </c>
      <c r="H365" s="171">
        <v>10.27</v>
      </c>
      <c r="I365" s="171">
        <v>10.29</v>
      </c>
      <c r="J365" s="171">
        <v>10.27</v>
      </c>
      <c r="K365" s="171">
        <v>10.76</v>
      </c>
      <c r="L365" s="171">
        <v>10.98</v>
      </c>
      <c r="M365" s="258"/>
      <c r="N365" s="258"/>
      <c r="O365" s="258"/>
      <c r="P365" s="258"/>
      <c r="Q365" s="258"/>
      <c r="R365" s="258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535"/>
      <c r="B366" s="148"/>
      <c r="C366" s="148"/>
      <c r="D366" s="90" t="s">
        <v>45</v>
      </c>
      <c r="E366" s="155" t="s">
        <v>46</v>
      </c>
      <c r="F366" s="267" t="s">
        <v>291</v>
      </c>
      <c r="G366" s="171">
        <v>10.29</v>
      </c>
      <c r="H366" s="171">
        <v>10.27</v>
      </c>
      <c r="I366" s="171">
        <v>10.29</v>
      </c>
      <c r="J366" s="171">
        <v>10.27</v>
      </c>
      <c r="K366" s="171">
        <v>10.76</v>
      </c>
      <c r="L366" s="171">
        <v>10.98</v>
      </c>
      <c r="M366" s="258"/>
      <c r="N366" s="258"/>
      <c r="O366" s="258"/>
      <c r="P366" s="258"/>
      <c r="Q366" s="258"/>
      <c r="R366" s="258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535"/>
      <c r="B367" s="263"/>
      <c r="C367" s="263"/>
      <c r="D367" s="135" t="s">
        <v>177</v>
      </c>
      <c r="E367" s="93" t="s">
        <v>176</v>
      </c>
      <c r="F367" s="267" t="s">
        <v>291</v>
      </c>
      <c r="G367" s="171">
        <v>10.76</v>
      </c>
      <c r="H367" s="171">
        <v>10.98</v>
      </c>
      <c r="I367" s="171">
        <v>10.76</v>
      </c>
      <c r="J367" s="171">
        <v>10.98</v>
      </c>
      <c r="K367" s="171">
        <v>11.47</v>
      </c>
      <c r="L367" s="171">
        <v>11.49</v>
      </c>
      <c r="M367" s="258"/>
      <c r="N367" s="258"/>
      <c r="O367" s="258"/>
      <c r="P367" s="258"/>
      <c r="Q367" s="258"/>
      <c r="R367" s="258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>
      <c r="B368" s="258"/>
      <c r="C368" s="258"/>
      <c r="D368" s="258"/>
      <c r="E368" s="258"/>
      <c r="F368" s="258"/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>
      <c r="B369" s="270"/>
      <c r="C369" s="270"/>
      <c r="D369" s="270"/>
      <c r="E369" s="270"/>
      <c r="F369" s="270"/>
      <c r="G369" s="270"/>
      <c r="H369" s="270"/>
      <c r="I369" s="270"/>
      <c r="J369" s="270"/>
      <c r="K369" s="270"/>
      <c r="L369" s="270"/>
      <c r="M369" s="270"/>
      <c r="N369" s="270"/>
      <c r="O369" s="270"/>
      <c r="P369" s="270"/>
      <c r="Q369" s="258"/>
      <c r="R369" s="258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>
      <c r="B370" s="258"/>
      <c r="C370" s="258"/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>
      <c r="B371" s="258"/>
      <c r="C371" s="258"/>
      <c r="D371" s="258"/>
      <c r="E371" s="258"/>
      <c r="F371" s="258"/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5.75">
      <c r="B372" s="268"/>
      <c r="C372" s="258"/>
      <c r="D372" s="258"/>
      <c r="E372" s="258"/>
      <c r="F372" s="258"/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"/>
      <c r="T372" s="1"/>
      <c r="U372" s="1"/>
      <c r="V372" s="1"/>
      <c r="W372" s="1"/>
      <c r="X372" s="1"/>
      <c r="Y372" s="1"/>
      <c r="Z372" s="1"/>
      <c r="AA372" s="1"/>
    </row>
  </sheetData>
  <sheetProtection/>
  <mergeCells count="16">
    <mergeCell ref="M335:N335"/>
    <mergeCell ref="I269:J269"/>
    <mergeCell ref="K269:L269"/>
    <mergeCell ref="M269:N269"/>
    <mergeCell ref="O269:P269"/>
    <mergeCell ref="M301:N301"/>
    <mergeCell ref="I314:J314"/>
    <mergeCell ref="K314:L314"/>
    <mergeCell ref="M314:N314"/>
    <mergeCell ref="O314:P314"/>
    <mergeCell ref="G301:H301"/>
    <mergeCell ref="I301:J301"/>
    <mergeCell ref="K301:L301"/>
    <mergeCell ref="G335:H335"/>
    <mergeCell ref="I335:J335"/>
    <mergeCell ref="K335:L3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59"/>
  <sheetViews>
    <sheetView zoomScale="90" zoomScaleNormal="90" zoomScalePageLayoutView="0" workbookViewId="0" topLeftCell="A1">
      <selection activeCell="E1" sqref="E1"/>
    </sheetView>
  </sheetViews>
  <sheetFormatPr defaultColWidth="11.421875" defaultRowHeight="12.75"/>
  <cols>
    <col min="2" max="2" width="45.8515625" style="0" customWidth="1"/>
    <col min="4" max="4" width="44.7109375" style="0" bestFit="1" customWidth="1"/>
  </cols>
  <sheetData>
    <row r="2" spans="2:17" ht="18.75">
      <c r="B2" s="440" t="s">
        <v>461</v>
      </c>
      <c r="Q2" s="1" t="s">
        <v>429</v>
      </c>
    </row>
    <row r="3" spans="2:8" ht="18.75">
      <c r="B3" s="937" t="s">
        <v>317</v>
      </c>
      <c r="C3" s="937"/>
      <c r="D3" s="937"/>
      <c r="E3" s="937"/>
      <c r="F3" s="937"/>
      <c r="G3" s="937"/>
      <c r="H3" s="937"/>
    </row>
    <row r="4" spans="2:4" ht="12.75">
      <c r="B4" s="271"/>
      <c r="C4" s="271"/>
      <c r="D4" s="271"/>
    </row>
    <row r="5" spans="2:8" ht="12.75">
      <c r="B5" s="272"/>
      <c r="C5" s="273"/>
      <c r="D5" s="274" t="s">
        <v>50</v>
      </c>
      <c r="E5" s="275" t="s">
        <v>318</v>
      </c>
      <c r="F5" s="275"/>
      <c r="G5" s="276"/>
      <c r="H5" s="277"/>
    </row>
    <row r="6" spans="2:8" ht="22.5">
      <c r="B6" s="278" t="s">
        <v>130</v>
      </c>
      <c r="C6" s="279" t="s">
        <v>3</v>
      </c>
      <c r="D6" s="279" t="s">
        <v>319</v>
      </c>
      <c r="E6" s="280" t="s">
        <v>248</v>
      </c>
      <c r="F6" s="280" t="s">
        <v>260</v>
      </c>
      <c r="G6" s="280" t="s">
        <v>447</v>
      </c>
      <c r="H6" s="280" t="s">
        <v>251</v>
      </c>
    </row>
    <row r="7" spans="1:18" ht="12.75">
      <c r="A7" s="469"/>
      <c r="B7" s="281"/>
      <c r="C7" s="282" t="s">
        <v>320</v>
      </c>
      <c r="D7" s="283" t="s">
        <v>321</v>
      </c>
      <c r="E7" s="866">
        <v>5.82</v>
      </c>
      <c r="F7" s="866">
        <v>4.94</v>
      </c>
      <c r="G7" s="866">
        <v>4.9</v>
      </c>
      <c r="H7" s="866">
        <v>4.95</v>
      </c>
      <c r="J7" s="467"/>
      <c r="K7" s="467">
        <f>+ROUND(E7,2)</f>
        <v>5.82</v>
      </c>
      <c r="L7" s="467">
        <f>+ROUND(F7,2)</f>
        <v>4.94</v>
      </c>
      <c r="M7" s="467">
        <f>+ROUND(G7,2)</f>
        <v>4.9</v>
      </c>
      <c r="N7" s="467">
        <f>+ROUND(H7,2)</f>
        <v>4.95</v>
      </c>
      <c r="O7" s="467"/>
      <c r="P7" s="467"/>
      <c r="Q7" s="467"/>
      <c r="R7" s="467"/>
    </row>
    <row r="8" spans="1:18" ht="12.75">
      <c r="A8" s="469"/>
      <c r="B8" s="285"/>
      <c r="C8" s="286"/>
      <c r="D8" s="287" t="s">
        <v>322</v>
      </c>
      <c r="E8" s="866">
        <v>7.93</v>
      </c>
      <c r="F8" s="866">
        <v>6.85</v>
      </c>
      <c r="G8" s="866">
        <v>6.79</v>
      </c>
      <c r="H8" s="866">
        <v>6.85</v>
      </c>
      <c r="J8" s="467"/>
      <c r="K8" s="467">
        <f aca="true" t="shared" si="0" ref="K8:K48">+ROUND(E8,2)</f>
        <v>7.93</v>
      </c>
      <c r="L8" s="467">
        <f aca="true" t="shared" si="1" ref="L8:L38">+ROUND(F8,2)</f>
        <v>6.85</v>
      </c>
      <c r="M8" s="467">
        <f aca="true" t="shared" si="2" ref="M8:M37">+ROUND(G8,2)</f>
        <v>6.79</v>
      </c>
      <c r="N8" s="467">
        <f aca="true" t="shared" si="3" ref="N8:N37">+ROUND(H8,2)</f>
        <v>6.85</v>
      </c>
      <c r="O8" s="467"/>
      <c r="P8" s="467"/>
      <c r="Q8" s="467"/>
      <c r="R8" s="467"/>
    </row>
    <row r="9" spans="1:18" ht="12.75">
      <c r="A9" s="469"/>
      <c r="B9" s="285" t="s">
        <v>323</v>
      </c>
      <c r="C9" s="286"/>
      <c r="D9" s="287" t="s">
        <v>324</v>
      </c>
      <c r="E9" s="866">
        <v>8.53</v>
      </c>
      <c r="F9" s="866">
        <v>7.42</v>
      </c>
      <c r="G9" s="866">
        <v>7.36</v>
      </c>
      <c r="H9" s="866">
        <v>7.4</v>
      </c>
      <c r="J9" s="467"/>
      <c r="K9" s="467">
        <f t="shared" si="0"/>
        <v>8.53</v>
      </c>
      <c r="L9" s="467">
        <f t="shared" si="1"/>
        <v>7.42</v>
      </c>
      <c r="M9" s="467">
        <f t="shared" si="2"/>
        <v>7.36</v>
      </c>
      <c r="N9" s="467">
        <f t="shared" si="3"/>
        <v>7.4</v>
      </c>
      <c r="O9" s="467"/>
      <c r="P9" s="467"/>
      <c r="Q9" s="467"/>
      <c r="R9" s="467"/>
    </row>
    <row r="10" spans="1:18" ht="12.75">
      <c r="A10" s="469"/>
      <c r="B10" s="285" t="s">
        <v>325</v>
      </c>
      <c r="C10" s="286"/>
      <c r="D10" s="287" t="s">
        <v>326</v>
      </c>
      <c r="E10" s="866">
        <v>21.67</v>
      </c>
      <c r="F10" s="866">
        <v>21.82</v>
      </c>
      <c r="G10" s="866">
        <v>21.8</v>
      </c>
      <c r="H10" s="866">
        <v>21.38</v>
      </c>
      <c r="J10" s="467"/>
      <c r="K10" s="467">
        <f t="shared" si="0"/>
        <v>21.67</v>
      </c>
      <c r="L10" s="467">
        <f t="shared" si="1"/>
        <v>21.82</v>
      </c>
      <c r="M10" s="467">
        <f t="shared" si="2"/>
        <v>21.8</v>
      </c>
      <c r="N10" s="467">
        <f t="shared" si="3"/>
        <v>21.38</v>
      </c>
      <c r="O10" s="467"/>
      <c r="P10" s="467"/>
      <c r="Q10" s="467"/>
      <c r="R10" s="467"/>
    </row>
    <row r="11" spans="1:18" ht="12.75">
      <c r="A11" s="469"/>
      <c r="B11" s="285" t="s">
        <v>448</v>
      </c>
      <c r="C11" s="288" t="s">
        <v>328</v>
      </c>
      <c r="D11" s="287" t="s">
        <v>321</v>
      </c>
      <c r="E11" s="867">
        <v>7.02</v>
      </c>
      <c r="F11" s="867">
        <v>6.07</v>
      </c>
      <c r="G11" s="867">
        <v>6.02</v>
      </c>
      <c r="H11" s="867">
        <v>5.98</v>
      </c>
      <c r="J11" s="467"/>
      <c r="K11" s="467">
        <f t="shared" si="0"/>
        <v>7.02</v>
      </c>
      <c r="L11" s="467">
        <f t="shared" si="1"/>
        <v>6.07</v>
      </c>
      <c r="M11" s="467">
        <f t="shared" si="2"/>
        <v>6.02</v>
      </c>
      <c r="N11" s="467">
        <f t="shared" si="3"/>
        <v>5.98</v>
      </c>
      <c r="O11" s="467"/>
      <c r="P11" s="467"/>
      <c r="Q11" s="467"/>
      <c r="R11" s="467"/>
    </row>
    <row r="12" spans="1:18" ht="12.75">
      <c r="A12" s="469"/>
      <c r="B12" s="289"/>
      <c r="C12" s="286"/>
      <c r="D12" s="287" t="s">
        <v>322</v>
      </c>
      <c r="E12" s="867">
        <v>9.09</v>
      </c>
      <c r="F12" s="867">
        <v>7.75</v>
      </c>
      <c r="G12" s="867">
        <v>7.68</v>
      </c>
      <c r="H12" s="867">
        <v>7.8</v>
      </c>
      <c r="J12" s="467"/>
      <c r="K12" s="467">
        <f t="shared" si="0"/>
        <v>9.09</v>
      </c>
      <c r="L12" s="467">
        <f t="shared" si="1"/>
        <v>7.75</v>
      </c>
      <c r="M12" s="467">
        <f t="shared" si="2"/>
        <v>7.68</v>
      </c>
      <c r="N12" s="467">
        <f t="shared" si="3"/>
        <v>7.8</v>
      </c>
      <c r="O12" s="467"/>
      <c r="P12" s="467"/>
      <c r="Q12" s="467"/>
      <c r="R12" s="467"/>
    </row>
    <row r="13" spans="1:18" ht="12.75">
      <c r="A13" s="469"/>
      <c r="B13" s="285"/>
      <c r="C13" s="286"/>
      <c r="D13" s="287" t="s">
        <v>324</v>
      </c>
      <c r="E13" s="867">
        <v>9.77</v>
      </c>
      <c r="F13" s="867">
        <v>8.52</v>
      </c>
      <c r="G13" s="867">
        <v>8.45</v>
      </c>
      <c r="H13" s="867">
        <v>8.43</v>
      </c>
      <c r="J13" s="467"/>
      <c r="K13" s="467">
        <f t="shared" si="0"/>
        <v>9.77</v>
      </c>
      <c r="L13" s="467">
        <f t="shared" si="1"/>
        <v>8.52</v>
      </c>
      <c r="M13" s="467">
        <f t="shared" si="2"/>
        <v>8.45</v>
      </c>
      <c r="N13" s="467">
        <f t="shared" si="3"/>
        <v>8.43</v>
      </c>
      <c r="O13" s="467"/>
      <c r="P13" s="467"/>
      <c r="Q13" s="467"/>
      <c r="R13" s="467"/>
    </row>
    <row r="14" spans="1:18" ht="12.75">
      <c r="A14" s="469"/>
      <c r="B14" s="290"/>
      <c r="C14" s="291"/>
      <c r="D14" s="292" t="s">
        <v>326</v>
      </c>
      <c r="E14" s="867">
        <v>26.44</v>
      </c>
      <c r="F14" s="867">
        <v>26.58</v>
      </c>
      <c r="G14" s="867">
        <v>26.57</v>
      </c>
      <c r="H14" s="867">
        <v>26.31</v>
      </c>
      <c r="J14" s="467"/>
      <c r="K14" s="467">
        <f t="shared" si="0"/>
        <v>26.44</v>
      </c>
      <c r="L14" s="467">
        <f t="shared" si="1"/>
        <v>26.58</v>
      </c>
      <c r="M14" s="467">
        <f t="shared" si="2"/>
        <v>26.57</v>
      </c>
      <c r="N14" s="467">
        <f t="shared" si="3"/>
        <v>26.31</v>
      </c>
      <c r="O14" s="467"/>
      <c r="P14" s="467"/>
      <c r="Q14" s="467"/>
      <c r="R14" s="467"/>
    </row>
    <row r="15" spans="11:14" ht="12.75">
      <c r="K15" s="467">
        <f t="shared" si="0"/>
        <v>0</v>
      </c>
      <c r="L15" s="467">
        <f t="shared" si="1"/>
        <v>0</v>
      </c>
      <c r="M15" s="467">
        <f t="shared" si="2"/>
        <v>0</v>
      </c>
      <c r="N15" s="467">
        <f t="shared" si="3"/>
        <v>0</v>
      </c>
    </row>
    <row r="16" spans="1:14" ht="12.75">
      <c r="A16" s="469"/>
      <c r="B16" s="293"/>
      <c r="C16" s="294"/>
      <c r="D16" s="294" t="s">
        <v>50</v>
      </c>
      <c r="E16" s="295" t="s">
        <v>318</v>
      </c>
      <c r="F16" s="296"/>
      <c r="G16" s="296"/>
      <c r="H16" s="297"/>
      <c r="K16" s="467" t="e">
        <f t="shared" si="0"/>
        <v>#VALUE!</v>
      </c>
      <c r="L16" s="467">
        <f t="shared" si="1"/>
        <v>0</v>
      </c>
      <c r="M16" s="467">
        <f t="shared" si="2"/>
        <v>0</v>
      </c>
      <c r="N16" s="467">
        <f t="shared" si="3"/>
        <v>0</v>
      </c>
    </row>
    <row r="17" spans="1:14" ht="25.5" customHeight="1">
      <c r="A17" s="469"/>
      <c r="B17" s="298" t="s">
        <v>130</v>
      </c>
      <c r="C17" s="298" t="s">
        <v>3</v>
      </c>
      <c r="D17" s="298" t="s">
        <v>319</v>
      </c>
      <c r="E17" s="299" t="s">
        <v>252</v>
      </c>
      <c r="F17" s="299" t="s">
        <v>263</v>
      </c>
      <c r="G17" s="299" t="s">
        <v>254</v>
      </c>
      <c r="H17" s="299" t="s">
        <v>265</v>
      </c>
      <c r="K17" s="467" t="e">
        <f t="shared" si="0"/>
        <v>#VALUE!</v>
      </c>
      <c r="L17" s="467" t="e">
        <f t="shared" si="1"/>
        <v>#VALUE!</v>
      </c>
      <c r="M17" s="467" t="e">
        <f t="shared" si="2"/>
        <v>#VALUE!</v>
      </c>
      <c r="N17" s="467" t="e">
        <f t="shared" si="3"/>
        <v>#VALUE!</v>
      </c>
    </row>
    <row r="18" spans="1:14" ht="12.75">
      <c r="A18" s="469"/>
      <c r="B18" s="300"/>
      <c r="C18" s="301" t="s">
        <v>320</v>
      </c>
      <c r="D18" s="302" t="s">
        <v>321</v>
      </c>
      <c r="E18" s="867">
        <v>5.99</v>
      </c>
      <c r="F18" s="867">
        <v>6.09</v>
      </c>
      <c r="G18" s="867">
        <v>6.27</v>
      </c>
      <c r="H18" s="867">
        <v>5.73</v>
      </c>
      <c r="J18" s="284"/>
      <c r="K18" s="467">
        <f t="shared" si="0"/>
        <v>5.99</v>
      </c>
      <c r="L18" s="467">
        <f t="shared" si="1"/>
        <v>6.09</v>
      </c>
      <c r="M18" s="467">
        <f t="shared" si="2"/>
        <v>6.27</v>
      </c>
      <c r="N18" s="467">
        <f t="shared" si="3"/>
        <v>5.73</v>
      </c>
    </row>
    <row r="19" spans="1:14" ht="12.75">
      <c r="A19" s="469"/>
      <c r="B19" s="285"/>
      <c r="C19" s="286"/>
      <c r="D19" s="302" t="s">
        <v>322</v>
      </c>
      <c r="E19" s="867">
        <v>8.01</v>
      </c>
      <c r="F19" s="867">
        <v>8.27</v>
      </c>
      <c r="G19" s="867">
        <v>8.5</v>
      </c>
      <c r="H19" s="867">
        <v>7.67</v>
      </c>
      <c r="J19" s="284"/>
      <c r="K19" s="467">
        <f t="shared" si="0"/>
        <v>8.01</v>
      </c>
      <c r="L19" s="467">
        <f t="shared" si="1"/>
        <v>8.27</v>
      </c>
      <c r="M19" s="467">
        <f t="shared" si="2"/>
        <v>8.5</v>
      </c>
      <c r="N19" s="467">
        <f t="shared" si="3"/>
        <v>7.67</v>
      </c>
    </row>
    <row r="20" spans="1:14" ht="12.75">
      <c r="A20" s="469"/>
      <c r="B20" s="285" t="s">
        <v>323</v>
      </c>
      <c r="C20" s="286"/>
      <c r="D20" s="302" t="s">
        <v>324</v>
      </c>
      <c r="E20" s="867">
        <v>8.64</v>
      </c>
      <c r="F20" s="867">
        <v>8.89</v>
      </c>
      <c r="G20" s="867">
        <v>9.12</v>
      </c>
      <c r="H20" s="867">
        <v>8.29</v>
      </c>
      <c r="J20" s="284"/>
      <c r="K20" s="467">
        <f t="shared" si="0"/>
        <v>8.64</v>
      </c>
      <c r="L20" s="467">
        <f t="shared" si="1"/>
        <v>8.89</v>
      </c>
      <c r="M20" s="467">
        <f t="shared" si="2"/>
        <v>9.12</v>
      </c>
      <c r="N20" s="467">
        <f t="shared" si="3"/>
        <v>8.29</v>
      </c>
    </row>
    <row r="21" spans="1:14" ht="12.75">
      <c r="A21" s="469"/>
      <c r="B21" s="285" t="s">
        <v>325</v>
      </c>
      <c r="C21" s="286"/>
      <c r="D21" s="302" t="s">
        <v>326</v>
      </c>
      <c r="E21" s="867">
        <v>24.12</v>
      </c>
      <c r="F21" s="867">
        <v>21.76</v>
      </c>
      <c r="G21" s="867">
        <v>21.82</v>
      </c>
      <c r="H21" s="867">
        <v>24.19</v>
      </c>
      <c r="J21" s="284"/>
      <c r="K21" s="467">
        <f t="shared" si="0"/>
        <v>24.12</v>
      </c>
      <c r="L21" s="467">
        <f t="shared" si="1"/>
        <v>21.76</v>
      </c>
      <c r="M21" s="467">
        <f t="shared" si="2"/>
        <v>21.82</v>
      </c>
      <c r="N21" s="467">
        <f t="shared" si="3"/>
        <v>24.19</v>
      </c>
    </row>
    <row r="22" spans="1:14" ht="12.75">
      <c r="A22" s="469"/>
      <c r="B22" s="285" t="s">
        <v>448</v>
      </c>
      <c r="C22" s="303" t="s">
        <v>328</v>
      </c>
      <c r="D22" s="302" t="s">
        <v>321</v>
      </c>
      <c r="E22" s="867">
        <v>7.42</v>
      </c>
      <c r="F22" s="867">
        <v>7.35</v>
      </c>
      <c r="G22" s="867">
        <v>7.56</v>
      </c>
      <c r="H22" s="867">
        <v>7.12</v>
      </c>
      <c r="J22" s="284"/>
      <c r="K22" s="467">
        <f t="shared" si="0"/>
        <v>7.42</v>
      </c>
      <c r="L22" s="467">
        <f t="shared" si="1"/>
        <v>7.35</v>
      </c>
      <c r="M22" s="467">
        <f t="shared" si="2"/>
        <v>7.56</v>
      </c>
      <c r="N22" s="467">
        <f t="shared" si="3"/>
        <v>7.12</v>
      </c>
    </row>
    <row r="23" spans="1:14" ht="12.75">
      <c r="A23" s="469"/>
      <c r="B23" s="285"/>
      <c r="C23" s="286"/>
      <c r="D23" s="302" t="s">
        <v>322</v>
      </c>
      <c r="E23" s="867">
        <v>9.27</v>
      </c>
      <c r="F23" s="867">
        <v>9.5</v>
      </c>
      <c r="G23" s="867">
        <v>9.77</v>
      </c>
      <c r="H23" s="867">
        <v>8.87</v>
      </c>
      <c r="J23" s="284"/>
      <c r="K23" s="467">
        <f t="shared" si="0"/>
        <v>9.27</v>
      </c>
      <c r="L23" s="467">
        <f t="shared" si="1"/>
        <v>9.5</v>
      </c>
      <c r="M23" s="467">
        <f t="shared" si="2"/>
        <v>9.77</v>
      </c>
      <c r="N23" s="467">
        <f t="shared" si="3"/>
        <v>8.87</v>
      </c>
    </row>
    <row r="24" spans="1:14" ht="12.75">
      <c r="A24" s="469"/>
      <c r="B24" s="285"/>
      <c r="C24" s="286"/>
      <c r="D24" s="302" t="s">
        <v>324</v>
      </c>
      <c r="E24" s="867">
        <v>10.1</v>
      </c>
      <c r="F24" s="867">
        <v>10.2</v>
      </c>
      <c r="G24" s="867">
        <v>10.48</v>
      </c>
      <c r="H24" s="867">
        <v>9.7</v>
      </c>
      <c r="J24" s="284"/>
      <c r="K24" s="467">
        <f t="shared" si="0"/>
        <v>10.1</v>
      </c>
      <c r="L24" s="467">
        <f t="shared" si="1"/>
        <v>10.2</v>
      </c>
      <c r="M24" s="467">
        <f t="shared" si="2"/>
        <v>10.48</v>
      </c>
      <c r="N24" s="467">
        <f t="shared" si="3"/>
        <v>9.7</v>
      </c>
    </row>
    <row r="25" spans="1:14" ht="12.75">
      <c r="A25" s="469"/>
      <c r="B25" s="290"/>
      <c r="C25" s="291"/>
      <c r="D25" s="304" t="s">
        <v>326</v>
      </c>
      <c r="E25" s="867">
        <v>30.02</v>
      </c>
      <c r="F25" s="867">
        <v>26.48</v>
      </c>
      <c r="G25" s="867">
        <v>26.51</v>
      </c>
      <c r="H25" s="867">
        <v>30.19</v>
      </c>
      <c r="J25" s="284"/>
      <c r="K25" s="467">
        <f t="shared" si="0"/>
        <v>30.02</v>
      </c>
      <c r="L25" s="467">
        <f t="shared" si="1"/>
        <v>26.48</v>
      </c>
      <c r="M25" s="467">
        <f t="shared" si="2"/>
        <v>26.51</v>
      </c>
      <c r="N25" s="467">
        <f t="shared" si="3"/>
        <v>30.19</v>
      </c>
    </row>
    <row r="26" spans="11:14" ht="12.75">
      <c r="K26" s="467">
        <f t="shared" si="0"/>
        <v>0</v>
      </c>
      <c r="L26" s="467">
        <f t="shared" si="1"/>
        <v>0</v>
      </c>
      <c r="M26" s="467">
        <f t="shared" si="2"/>
        <v>0</v>
      </c>
      <c r="N26" s="467">
        <f t="shared" si="3"/>
        <v>0</v>
      </c>
    </row>
    <row r="27" spans="1:14" ht="12.75">
      <c r="A27" s="469"/>
      <c r="B27" s="293"/>
      <c r="C27" s="294"/>
      <c r="D27" s="305" t="s">
        <v>50</v>
      </c>
      <c r="E27" s="295" t="s">
        <v>318</v>
      </c>
      <c r="F27" s="296"/>
      <c r="G27" s="296"/>
      <c r="H27" s="297"/>
      <c r="K27" s="467" t="e">
        <f t="shared" si="0"/>
        <v>#VALUE!</v>
      </c>
      <c r="L27" s="467">
        <f t="shared" si="1"/>
        <v>0</v>
      </c>
      <c r="M27" s="467">
        <f t="shared" si="2"/>
        <v>0</v>
      </c>
      <c r="N27" s="467">
        <f t="shared" si="3"/>
        <v>0</v>
      </c>
    </row>
    <row r="28" spans="1:14" ht="22.5">
      <c r="A28" s="469"/>
      <c r="B28" s="298" t="s">
        <v>130</v>
      </c>
      <c r="C28" s="298" t="s">
        <v>3</v>
      </c>
      <c r="D28" s="298" t="s">
        <v>319</v>
      </c>
      <c r="E28" s="299" t="s">
        <v>255</v>
      </c>
      <c r="F28" s="299" t="s">
        <v>266</v>
      </c>
      <c r="G28" s="299" t="s">
        <v>256</v>
      </c>
      <c r="H28" s="299" t="s">
        <v>257</v>
      </c>
      <c r="K28" s="467" t="e">
        <f t="shared" si="0"/>
        <v>#VALUE!</v>
      </c>
      <c r="L28" s="467" t="e">
        <f t="shared" si="1"/>
        <v>#VALUE!</v>
      </c>
      <c r="M28" s="467" t="e">
        <f t="shared" si="2"/>
        <v>#VALUE!</v>
      </c>
      <c r="N28" s="467" t="e">
        <f t="shared" si="3"/>
        <v>#VALUE!</v>
      </c>
    </row>
    <row r="29" spans="1:14" ht="12.75">
      <c r="A29" s="469"/>
      <c r="B29" s="300"/>
      <c r="C29" s="301" t="s">
        <v>320</v>
      </c>
      <c r="D29" s="302" t="s">
        <v>321</v>
      </c>
      <c r="E29" s="867">
        <v>6.79</v>
      </c>
      <c r="F29" s="867">
        <v>5.42</v>
      </c>
      <c r="G29" s="867">
        <v>5.11</v>
      </c>
      <c r="H29" s="867">
        <v>4.81</v>
      </c>
      <c r="J29" s="284"/>
      <c r="K29" s="467">
        <f t="shared" si="0"/>
        <v>6.79</v>
      </c>
      <c r="L29" s="467">
        <f t="shared" si="1"/>
        <v>5.42</v>
      </c>
      <c r="M29" s="467">
        <f t="shared" si="2"/>
        <v>5.11</v>
      </c>
      <c r="N29" s="467">
        <f t="shared" si="3"/>
        <v>4.81</v>
      </c>
    </row>
    <row r="30" spans="1:14" ht="12.75">
      <c r="A30" s="469"/>
      <c r="B30" s="285"/>
      <c r="C30" s="286"/>
      <c r="D30" s="302" t="s">
        <v>322</v>
      </c>
      <c r="E30" s="867">
        <v>9.16</v>
      </c>
      <c r="F30" s="867">
        <v>7.43</v>
      </c>
      <c r="G30" s="867">
        <v>7.04</v>
      </c>
      <c r="H30" s="867">
        <v>6.67</v>
      </c>
      <c r="J30" s="284"/>
      <c r="K30" s="467">
        <f t="shared" si="0"/>
        <v>9.16</v>
      </c>
      <c r="L30" s="467">
        <f t="shared" si="1"/>
        <v>7.43</v>
      </c>
      <c r="M30" s="467">
        <f t="shared" si="2"/>
        <v>7.04</v>
      </c>
      <c r="N30" s="467">
        <f t="shared" si="3"/>
        <v>6.67</v>
      </c>
    </row>
    <row r="31" spans="1:14" ht="12.75">
      <c r="A31" s="469"/>
      <c r="B31" s="285" t="s">
        <v>323</v>
      </c>
      <c r="C31" s="286"/>
      <c r="D31" s="302" t="s">
        <v>324</v>
      </c>
      <c r="E31" s="867">
        <v>9.81</v>
      </c>
      <c r="F31" s="867">
        <v>8</v>
      </c>
      <c r="G31" s="867">
        <v>7.6</v>
      </c>
      <c r="H31" s="867">
        <v>7.21</v>
      </c>
      <c r="J31" s="284"/>
      <c r="K31" s="467">
        <f t="shared" si="0"/>
        <v>9.81</v>
      </c>
      <c r="L31" s="467">
        <f t="shared" si="1"/>
        <v>8</v>
      </c>
      <c r="M31" s="467">
        <f t="shared" si="2"/>
        <v>7.6</v>
      </c>
      <c r="N31" s="467">
        <f t="shared" si="3"/>
        <v>7.21</v>
      </c>
    </row>
    <row r="32" spans="1:14" ht="12.75">
      <c r="A32" s="469"/>
      <c r="B32" s="285" t="s">
        <v>325</v>
      </c>
      <c r="C32" s="286"/>
      <c r="D32" s="302" t="s">
        <v>326</v>
      </c>
      <c r="E32" s="867">
        <v>22</v>
      </c>
      <c r="F32" s="867">
        <v>21.53</v>
      </c>
      <c r="G32" s="867">
        <v>21.43</v>
      </c>
      <c r="H32" s="867">
        <v>21.33</v>
      </c>
      <c r="J32" s="284"/>
      <c r="K32" s="467">
        <f t="shared" si="0"/>
        <v>22</v>
      </c>
      <c r="L32" s="467">
        <f t="shared" si="1"/>
        <v>21.53</v>
      </c>
      <c r="M32" s="467">
        <f t="shared" si="2"/>
        <v>21.43</v>
      </c>
      <c r="N32" s="467">
        <f t="shared" si="3"/>
        <v>21.33</v>
      </c>
    </row>
    <row r="33" spans="1:14" ht="12.75">
      <c r="A33" s="469"/>
      <c r="B33" s="285" t="s">
        <v>448</v>
      </c>
      <c r="C33" s="306" t="s">
        <v>328</v>
      </c>
      <c r="D33" s="302" t="s">
        <v>321</v>
      </c>
      <c r="E33" s="867">
        <v>8.19</v>
      </c>
      <c r="F33" s="867">
        <v>6.53</v>
      </c>
      <c r="G33" s="867">
        <v>6.16</v>
      </c>
      <c r="H33" s="867">
        <v>5.81</v>
      </c>
      <c r="J33" s="284"/>
      <c r="K33" s="467">
        <f t="shared" si="0"/>
        <v>8.19</v>
      </c>
      <c r="L33" s="467">
        <f t="shared" si="1"/>
        <v>6.53</v>
      </c>
      <c r="M33" s="467">
        <f t="shared" si="2"/>
        <v>6.16</v>
      </c>
      <c r="N33" s="467">
        <f t="shared" si="3"/>
        <v>5.81</v>
      </c>
    </row>
    <row r="34" spans="1:14" ht="12.75">
      <c r="A34" s="469"/>
      <c r="B34" s="285"/>
      <c r="C34" s="286"/>
      <c r="D34" s="302" t="s">
        <v>322</v>
      </c>
      <c r="E34" s="867">
        <v>10.56</v>
      </c>
      <c r="F34" s="867">
        <v>8.49</v>
      </c>
      <c r="G34" s="867">
        <v>8.03</v>
      </c>
      <c r="H34" s="867">
        <v>7.59</v>
      </c>
      <c r="J34" s="284"/>
      <c r="K34" s="467">
        <f t="shared" si="0"/>
        <v>10.56</v>
      </c>
      <c r="L34" s="467">
        <f t="shared" si="1"/>
        <v>8.49</v>
      </c>
      <c r="M34" s="467">
        <f t="shared" si="2"/>
        <v>8.03</v>
      </c>
      <c r="N34" s="467">
        <f t="shared" si="3"/>
        <v>7.59</v>
      </c>
    </row>
    <row r="35" spans="1:14" ht="12.75">
      <c r="A35" s="469"/>
      <c r="B35" s="285"/>
      <c r="C35" s="286"/>
      <c r="D35" s="302" t="s">
        <v>324</v>
      </c>
      <c r="E35" s="867">
        <v>11.3</v>
      </c>
      <c r="F35" s="867">
        <v>9.15</v>
      </c>
      <c r="G35" s="867">
        <v>8.67</v>
      </c>
      <c r="H35" s="867">
        <v>8.21</v>
      </c>
      <c r="J35" s="284"/>
      <c r="K35" s="467">
        <f t="shared" si="0"/>
        <v>11.3</v>
      </c>
      <c r="L35" s="467">
        <f t="shared" si="1"/>
        <v>9.15</v>
      </c>
      <c r="M35" s="467">
        <f t="shared" si="2"/>
        <v>8.67</v>
      </c>
      <c r="N35" s="467">
        <f t="shared" si="3"/>
        <v>8.21</v>
      </c>
    </row>
    <row r="36" spans="1:14" ht="12.75">
      <c r="A36" s="469"/>
      <c r="B36" s="290"/>
      <c r="C36" s="291"/>
      <c r="D36" s="304" t="s">
        <v>326</v>
      </c>
      <c r="E36" s="867">
        <v>26.59</v>
      </c>
      <c r="F36" s="867">
        <v>26.38</v>
      </c>
      <c r="G36" s="867">
        <v>26.34</v>
      </c>
      <c r="H36" s="867">
        <v>26.29</v>
      </c>
      <c r="J36" s="284"/>
      <c r="K36" s="467">
        <f t="shared" si="0"/>
        <v>26.59</v>
      </c>
      <c r="L36" s="467">
        <f t="shared" si="1"/>
        <v>26.38</v>
      </c>
      <c r="M36" s="467">
        <f t="shared" si="2"/>
        <v>26.34</v>
      </c>
      <c r="N36" s="467">
        <f t="shared" si="3"/>
        <v>26.29</v>
      </c>
    </row>
    <row r="37" spans="11:14" ht="12.75">
      <c r="K37" s="467">
        <f t="shared" si="0"/>
        <v>0</v>
      </c>
      <c r="L37" s="467">
        <f t="shared" si="1"/>
        <v>0</v>
      </c>
      <c r="M37" s="467">
        <f t="shared" si="2"/>
        <v>0</v>
      </c>
      <c r="N37" s="467">
        <f t="shared" si="3"/>
        <v>0</v>
      </c>
    </row>
    <row r="38" spans="1:13" ht="12.75">
      <c r="A38" s="469"/>
      <c r="B38" s="307"/>
      <c r="C38" s="308"/>
      <c r="D38" s="308" t="s">
        <v>50</v>
      </c>
      <c r="E38" s="309" t="s">
        <v>318</v>
      </c>
      <c r="F38" s="310"/>
      <c r="G38" s="311"/>
      <c r="K38" s="467" t="e">
        <f t="shared" si="0"/>
        <v>#VALUE!</v>
      </c>
      <c r="L38" s="467">
        <f t="shared" si="1"/>
        <v>0</v>
      </c>
      <c r="M38" s="467">
        <f aca="true" t="shared" si="4" ref="M38:M48">+ROUND(G38,2)</f>
        <v>0</v>
      </c>
    </row>
    <row r="39" spans="1:13" ht="12.75">
      <c r="A39" s="469"/>
      <c r="B39" s="312" t="s">
        <v>130</v>
      </c>
      <c r="C39" s="313" t="s">
        <v>3</v>
      </c>
      <c r="D39" s="312" t="s">
        <v>319</v>
      </c>
      <c r="E39" s="314" t="s">
        <v>259</v>
      </c>
      <c r="F39" s="314" t="s">
        <v>261</v>
      </c>
      <c r="G39" s="315" t="s">
        <v>329</v>
      </c>
      <c r="K39" s="467" t="e">
        <f t="shared" si="0"/>
        <v>#VALUE!</v>
      </c>
      <c r="L39" s="467" t="e">
        <f aca="true" t="shared" si="5" ref="L39:L48">+ROUND(F39,2)</f>
        <v>#VALUE!</v>
      </c>
      <c r="M39" s="467" t="e">
        <f t="shared" si="4"/>
        <v>#VALUE!</v>
      </c>
    </row>
    <row r="40" spans="1:13" ht="12.75">
      <c r="A40" s="469"/>
      <c r="B40" s="316"/>
      <c r="C40" s="317"/>
      <c r="D40" s="316"/>
      <c r="E40" s="318"/>
      <c r="F40" s="318"/>
      <c r="G40" s="280" t="s">
        <v>330</v>
      </c>
      <c r="K40" s="467">
        <f t="shared" si="0"/>
        <v>0</v>
      </c>
      <c r="L40" s="467">
        <f t="shared" si="5"/>
        <v>0</v>
      </c>
      <c r="M40" s="467" t="e">
        <f t="shared" si="4"/>
        <v>#VALUE!</v>
      </c>
    </row>
    <row r="41" spans="1:13" ht="12.75">
      <c r="A41" s="469"/>
      <c r="B41" s="319"/>
      <c r="C41" s="271" t="s">
        <v>320</v>
      </c>
      <c r="D41" s="320" t="s">
        <v>321</v>
      </c>
      <c r="E41" s="868">
        <v>5.75</v>
      </c>
      <c r="F41" s="868">
        <v>5.57</v>
      </c>
      <c r="G41" s="905">
        <v>9.1</v>
      </c>
      <c r="J41" s="284"/>
      <c r="K41" s="467">
        <f t="shared" si="0"/>
        <v>5.75</v>
      </c>
      <c r="L41" s="467">
        <f t="shared" si="5"/>
        <v>5.57</v>
      </c>
      <c r="M41" s="467">
        <f t="shared" si="4"/>
        <v>9.1</v>
      </c>
    </row>
    <row r="42" spans="1:13" ht="12.75">
      <c r="A42" s="469"/>
      <c r="B42" s="285"/>
      <c r="C42" s="286"/>
      <c r="D42" s="302" t="s">
        <v>322</v>
      </c>
      <c r="E42" s="867">
        <v>7.84</v>
      </c>
      <c r="F42" s="867">
        <v>7.63</v>
      </c>
      <c r="G42" s="906">
        <v>12.06</v>
      </c>
      <c r="J42" s="284"/>
      <c r="K42" s="467">
        <f t="shared" si="0"/>
        <v>7.84</v>
      </c>
      <c r="L42" s="467">
        <f t="shared" si="5"/>
        <v>7.63</v>
      </c>
      <c r="M42" s="467">
        <f t="shared" si="4"/>
        <v>12.06</v>
      </c>
    </row>
    <row r="43" spans="1:13" ht="12.75">
      <c r="A43" s="469"/>
      <c r="B43" s="285" t="s">
        <v>323</v>
      </c>
      <c r="C43" s="286"/>
      <c r="D43" s="302" t="s">
        <v>324</v>
      </c>
      <c r="E43" s="867">
        <v>8.44</v>
      </c>
      <c r="F43" s="867">
        <v>8.21</v>
      </c>
      <c r="G43" s="906">
        <v>12.85</v>
      </c>
      <c r="J43" s="284"/>
      <c r="K43" s="467">
        <f t="shared" si="0"/>
        <v>8.44</v>
      </c>
      <c r="L43" s="467">
        <f t="shared" si="5"/>
        <v>8.21</v>
      </c>
      <c r="M43" s="467">
        <f t="shared" si="4"/>
        <v>12.85</v>
      </c>
    </row>
    <row r="44" spans="1:13" ht="12.75">
      <c r="A44" s="469"/>
      <c r="B44" s="285" t="s">
        <v>325</v>
      </c>
      <c r="C44" s="286"/>
      <c r="D44" s="302" t="s">
        <v>326</v>
      </c>
      <c r="E44" s="867">
        <v>21.64</v>
      </c>
      <c r="F44" s="867">
        <v>21.59</v>
      </c>
      <c r="G44" s="906">
        <v>22.77</v>
      </c>
      <c r="J44" s="284"/>
      <c r="K44" s="467">
        <f t="shared" si="0"/>
        <v>21.64</v>
      </c>
      <c r="L44" s="467">
        <f t="shared" si="5"/>
        <v>21.59</v>
      </c>
      <c r="M44" s="467">
        <f t="shared" si="4"/>
        <v>22.77</v>
      </c>
    </row>
    <row r="45" spans="1:13" ht="12.75">
      <c r="A45" s="469"/>
      <c r="B45" s="285" t="s">
        <v>448</v>
      </c>
      <c r="C45" s="288" t="s">
        <v>328</v>
      </c>
      <c r="D45" s="283" t="s">
        <v>321</v>
      </c>
      <c r="E45" s="869">
        <v>6.93</v>
      </c>
      <c r="F45" s="869">
        <v>6.72</v>
      </c>
      <c r="G45" s="907">
        <v>10.97</v>
      </c>
      <c r="J45" s="284"/>
      <c r="K45" s="467">
        <f t="shared" si="0"/>
        <v>6.93</v>
      </c>
      <c r="L45" s="467">
        <f t="shared" si="5"/>
        <v>6.72</v>
      </c>
      <c r="M45" s="467">
        <f t="shared" si="4"/>
        <v>10.97</v>
      </c>
    </row>
    <row r="46" spans="1:13" ht="12.75">
      <c r="A46" s="469"/>
      <c r="B46" s="285"/>
      <c r="C46" s="286"/>
      <c r="D46" s="283" t="s">
        <v>322</v>
      </c>
      <c r="E46" s="869">
        <v>8.99</v>
      </c>
      <c r="F46" s="869">
        <v>8.73</v>
      </c>
      <c r="G46" s="907">
        <v>14.03</v>
      </c>
      <c r="J46" s="284"/>
      <c r="K46" s="467">
        <f t="shared" si="0"/>
        <v>8.99</v>
      </c>
      <c r="L46" s="467">
        <f t="shared" si="5"/>
        <v>8.73</v>
      </c>
      <c r="M46" s="467">
        <f t="shared" si="4"/>
        <v>14.03</v>
      </c>
    </row>
    <row r="47" spans="1:13" ht="12.75">
      <c r="A47" s="469"/>
      <c r="B47" s="285"/>
      <c r="C47" s="286"/>
      <c r="D47" s="283" t="s">
        <v>324</v>
      </c>
      <c r="E47" s="869">
        <v>9.67</v>
      </c>
      <c r="F47" s="869">
        <v>9.4</v>
      </c>
      <c r="G47" s="907">
        <v>14.91</v>
      </c>
      <c r="J47" s="284"/>
      <c r="K47" s="467">
        <f t="shared" si="0"/>
        <v>9.67</v>
      </c>
      <c r="L47" s="467">
        <f t="shared" si="5"/>
        <v>9.4</v>
      </c>
      <c r="M47" s="467">
        <f t="shared" si="4"/>
        <v>14.91</v>
      </c>
    </row>
    <row r="48" spans="1:13" ht="12.75">
      <c r="A48" s="469"/>
      <c r="B48" s="290"/>
      <c r="C48" s="291"/>
      <c r="D48" s="304" t="s">
        <v>326</v>
      </c>
      <c r="E48" s="869">
        <v>26.43</v>
      </c>
      <c r="F48" s="869">
        <v>26.41</v>
      </c>
      <c r="G48" s="907">
        <v>26.93</v>
      </c>
      <c r="J48" s="284"/>
      <c r="K48" s="467">
        <f t="shared" si="0"/>
        <v>26.43</v>
      </c>
      <c r="L48" s="467">
        <f t="shared" si="5"/>
        <v>26.41</v>
      </c>
      <c r="M48" s="467">
        <f t="shared" si="4"/>
        <v>26.93</v>
      </c>
    </row>
    <row r="50" spans="1:10" ht="12.75">
      <c r="A50" s="469"/>
      <c r="B50" s="321"/>
      <c r="C50" s="273"/>
      <c r="D50" s="273" t="s">
        <v>50</v>
      </c>
      <c r="E50" s="322"/>
      <c r="F50" s="323" t="s">
        <v>318</v>
      </c>
      <c r="G50" s="276"/>
      <c r="H50" s="276"/>
      <c r="I50" s="277"/>
      <c r="J50" s="277"/>
    </row>
    <row r="51" spans="1:10" ht="12.75">
      <c r="A51" s="469"/>
      <c r="B51" s="324"/>
      <c r="C51" s="325"/>
      <c r="D51" s="324"/>
      <c r="E51" s="325"/>
      <c r="F51" s="324"/>
      <c r="G51" s="326" t="s">
        <v>331</v>
      </c>
      <c r="H51" s="324"/>
      <c r="I51" s="326" t="s">
        <v>331</v>
      </c>
      <c r="J51" s="327" t="s">
        <v>332</v>
      </c>
    </row>
    <row r="52" spans="1:10" ht="12.75">
      <c r="A52" s="469"/>
      <c r="B52" s="328" t="s">
        <v>130</v>
      </c>
      <c r="C52" s="329" t="s">
        <v>3</v>
      </c>
      <c r="D52" s="328" t="s">
        <v>319</v>
      </c>
      <c r="E52" s="330" t="s">
        <v>333</v>
      </c>
      <c r="F52" s="331" t="s">
        <v>334</v>
      </c>
      <c r="G52" s="330" t="s">
        <v>335</v>
      </c>
      <c r="H52" s="331" t="s">
        <v>336</v>
      </c>
      <c r="I52" s="330" t="s">
        <v>337</v>
      </c>
      <c r="J52" s="331" t="s">
        <v>338</v>
      </c>
    </row>
    <row r="53" spans="1:10" ht="12.75">
      <c r="A53" s="469"/>
      <c r="B53" s="316"/>
      <c r="C53" s="317"/>
      <c r="D53" s="316"/>
      <c r="E53" s="318"/>
      <c r="F53" s="280"/>
      <c r="G53" s="318"/>
      <c r="H53" s="280"/>
      <c r="I53" s="318" t="s">
        <v>338</v>
      </c>
      <c r="J53" s="280"/>
    </row>
    <row r="54" spans="1:16" ht="12.75">
      <c r="A54" s="469"/>
      <c r="B54" s="332"/>
      <c r="C54" s="271" t="s">
        <v>339</v>
      </c>
      <c r="D54" s="320" t="s">
        <v>340</v>
      </c>
      <c r="E54" s="333" t="s">
        <v>341</v>
      </c>
      <c r="F54" s="871">
        <v>47.04</v>
      </c>
      <c r="G54" s="871">
        <v>43.83</v>
      </c>
      <c r="H54" s="871">
        <v>47</v>
      </c>
      <c r="I54" s="871">
        <v>44.54</v>
      </c>
      <c r="J54" s="871">
        <v>47.68</v>
      </c>
      <c r="K54" s="284"/>
      <c r="L54" s="284">
        <f>+ROUND(F54,2)</f>
        <v>47.04</v>
      </c>
      <c r="M54" s="284">
        <f>+ROUND(G54,2)</f>
        <v>43.83</v>
      </c>
      <c r="N54" s="284">
        <f>+ROUND(H54,2)</f>
        <v>47</v>
      </c>
      <c r="O54" s="284">
        <f>+ROUND(I54,2)</f>
        <v>44.54</v>
      </c>
      <c r="P54" s="284">
        <f>+ROUND(J54,2)</f>
        <v>47.68</v>
      </c>
    </row>
    <row r="55" spans="1:16" ht="12.75">
      <c r="A55" s="469"/>
      <c r="B55" s="285" t="s">
        <v>323</v>
      </c>
      <c r="C55" s="286"/>
      <c r="D55" s="283" t="s">
        <v>342</v>
      </c>
      <c r="E55" s="334" t="s">
        <v>341</v>
      </c>
      <c r="F55" s="872">
        <v>44.64</v>
      </c>
      <c r="G55" s="872">
        <v>44.64</v>
      </c>
      <c r="H55" s="872">
        <v>47.64</v>
      </c>
      <c r="I55" s="872">
        <v>46.39</v>
      </c>
      <c r="J55" s="872">
        <v>49.33</v>
      </c>
      <c r="K55" s="284"/>
      <c r="L55" s="284">
        <f>+ROUND(F55,2)</f>
        <v>44.64</v>
      </c>
      <c r="M55" s="284">
        <f>+ROUND(G55,2)</f>
        <v>44.64</v>
      </c>
      <c r="N55" s="284">
        <f>+ROUND(H55,2)</f>
        <v>47.64</v>
      </c>
      <c r="O55" s="284">
        <f>+ROUND(I55,2)</f>
        <v>46.39</v>
      </c>
      <c r="P55" s="284">
        <f>+ROUND(J55,2)</f>
        <v>49.33</v>
      </c>
    </row>
    <row r="56" spans="1:16" ht="12.75">
      <c r="A56" s="469"/>
      <c r="B56" s="285" t="s">
        <v>325</v>
      </c>
      <c r="C56" s="286"/>
      <c r="D56" s="283" t="s">
        <v>343</v>
      </c>
      <c r="E56" s="334" t="s">
        <v>341</v>
      </c>
      <c r="F56" s="872">
        <v>44.64</v>
      </c>
      <c r="G56" s="872">
        <v>44.64</v>
      </c>
      <c r="H56" s="872">
        <v>47.64</v>
      </c>
      <c r="I56" s="872">
        <v>46.39</v>
      </c>
      <c r="J56" s="872">
        <v>49.33</v>
      </c>
      <c r="K56" s="284"/>
      <c r="L56" s="284">
        <f>+ROUND(F56,2)</f>
        <v>44.64</v>
      </c>
      <c r="M56" s="284">
        <f>+ROUND(G56,2)</f>
        <v>44.64</v>
      </c>
      <c r="N56" s="284">
        <f>+ROUND(H56,2)</f>
        <v>47.64</v>
      </c>
      <c r="O56" s="284">
        <f>+ROUND(I56,2)</f>
        <v>46.39</v>
      </c>
      <c r="P56" s="284">
        <f>+ROUND(J56,2)</f>
        <v>49.33</v>
      </c>
    </row>
    <row r="57" spans="1:16" ht="12.75">
      <c r="A57" s="469"/>
      <c r="B57" s="285" t="s">
        <v>448</v>
      </c>
      <c r="C57" s="335" t="s">
        <v>344</v>
      </c>
      <c r="D57" s="336" t="s">
        <v>345</v>
      </c>
      <c r="E57" s="337" t="s">
        <v>341</v>
      </c>
      <c r="F57" s="873">
        <v>77.48</v>
      </c>
      <c r="G57" s="873">
        <v>77.48</v>
      </c>
      <c r="H57" s="873">
        <v>83.46</v>
      </c>
      <c r="I57" s="873">
        <v>78.87</v>
      </c>
      <c r="J57" s="873">
        <v>84.78</v>
      </c>
      <c r="K57" s="284"/>
      <c r="L57" s="284">
        <f>+ROUND(F57,2)</f>
        <v>77.48</v>
      </c>
      <c r="M57" s="284">
        <f>+ROUND(G57,2)</f>
        <v>77.48</v>
      </c>
      <c r="N57" s="284">
        <f>+ROUND(H57,2)</f>
        <v>83.46</v>
      </c>
      <c r="O57" s="284">
        <f>+ROUND(I57,2)</f>
        <v>78.87</v>
      </c>
      <c r="P57" s="284">
        <f>+ROUND(J57,2)</f>
        <v>84.78</v>
      </c>
    </row>
    <row r="58" spans="1:16" ht="12.75">
      <c r="A58" s="469"/>
      <c r="B58" s="285"/>
      <c r="C58" s="286"/>
      <c r="D58" s="336" t="s">
        <v>346</v>
      </c>
      <c r="E58" s="337" t="s">
        <v>341</v>
      </c>
      <c r="F58" s="873">
        <v>58.19</v>
      </c>
      <c r="G58" s="873">
        <v>58.19</v>
      </c>
      <c r="H58" s="873">
        <v>62.92</v>
      </c>
      <c r="I58" s="873">
        <v>58.63</v>
      </c>
      <c r="J58" s="873">
        <v>63.39</v>
      </c>
      <c r="K58" s="284"/>
      <c r="L58" s="284">
        <f>+ROUND(F58,2)</f>
        <v>58.19</v>
      </c>
      <c r="M58" s="284">
        <f>+ROUND(G58,2)</f>
        <v>58.19</v>
      </c>
      <c r="N58" s="284">
        <f>+ROUND(H58,2)</f>
        <v>62.92</v>
      </c>
      <c r="O58" s="284">
        <f>+ROUND(I58,2)</f>
        <v>58.63</v>
      </c>
      <c r="P58" s="284">
        <f>+ROUND(J58,2)</f>
        <v>63.39</v>
      </c>
    </row>
    <row r="59" spans="1:16" ht="12.75">
      <c r="A59" s="469"/>
      <c r="B59" s="338"/>
      <c r="C59" s="291"/>
      <c r="D59" s="304" t="s">
        <v>347</v>
      </c>
      <c r="E59" s="337" t="s">
        <v>341</v>
      </c>
      <c r="F59" s="873">
        <v>58.19</v>
      </c>
      <c r="G59" s="873">
        <v>58.19</v>
      </c>
      <c r="H59" s="873">
        <v>62.92</v>
      </c>
      <c r="I59" s="873">
        <v>58.63</v>
      </c>
      <c r="J59" s="873">
        <v>63.39</v>
      </c>
      <c r="K59" s="284"/>
      <c r="L59" s="284">
        <f>+ROUND(F59,2)</f>
        <v>58.19</v>
      </c>
      <c r="M59" s="284">
        <f>+ROUND(G59,2)</f>
        <v>58.19</v>
      </c>
      <c r="N59" s="284">
        <f>+ROUND(H59,2)</f>
        <v>62.92</v>
      </c>
      <c r="O59" s="284">
        <f>+ROUND(I59,2)</f>
        <v>58.63</v>
      </c>
      <c r="P59" s="284">
        <f>+ROUND(J59,2)</f>
        <v>63.39</v>
      </c>
    </row>
    <row r="60" spans="10:16" ht="12.75">
      <c r="J60" s="339"/>
      <c r="L60" s="284">
        <f aca="true" t="shared" si="6" ref="L60:L70">+ROUND(F60,2)</f>
        <v>0</v>
      </c>
      <c r="M60" s="284">
        <f aca="true" t="shared" si="7" ref="M60:M70">+ROUND(G60,2)</f>
        <v>0</v>
      </c>
      <c r="N60" s="284">
        <f aca="true" t="shared" si="8" ref="N60:N70">+ROUND(H60,2)</f>
        <v>0</v>
      </c>
      <c r="O60" s="284">
        <f aca="true" t="shared" si="9" ref="O60:O70">+ROUND(I60,2)</f>
        <v>0</v>
      </c>
      <c r="P60" s="284">
        <f aca="true" t="shared" si="10" ref="P60:P70">+ROUND(J60,2)</f>
        <v>0</v>
      </c>
    </row>
    <row r="61" spans="1:16" ht="12.75">
      <c r="A61" s="469"/>
      <c r="B61" s="340"/>
      <c r="C61" s="341"/>
      <c r="D61" s="342" t="s">
        <v>50</v>
      </c>
      <c r="E61" s="343"/>
      <c r="F61" s="344" t="s">
        <v>318</v>
      </c>
      <c r="G61" s="310"/>
      <c r="H61" s="310"/>
      <c r="I61" s="311"/>
      <c r="L61" s="284" t="e">
        <f t="shared" si="6"/>
        <v>#VALUE!</v>
      </c>
      <c r="M61" s="284">
        <f t="shared" si="7"/>
        <v>0</v>
      </c>
      <c r="N61" s="284">
        <f t="shared" si="8"/>
        <v>0</v>
      </c>
      <c r="O61" s="284">
        <f t="shared" si="9"/>
        <v>0</v>
      </c>
      <c r="P61" s="284">
        <f t="shared" si="10"/>
        <v>0</v>
      </c>
    </row>
    <row r="62" spans="1:16" ht="12.75">
      <c r="A62" s="469"/>
      <c r="B62" s="345"/>
      <c r="C62" s="345"/>
      <c r="D62" s="345"/>
      <c r="E62" s="345"/>
      <c r="F62" s="864"/>
      <c r="G62" s="864" t="s">
        <v>331</v>
      </c>
      <c r="H62" s="373"/>
      <c r="I62" s="864" t="s">
        <v>349</v>
      </c>
      <c r="J62" s="395" t="s">
        <v>332</v>
      </c>
      <c r="L62" s="284">
        <f t="shared" si="6"/>
        <v>0</v>
      </c>
      <c r="M62" s="284" t="e">
        <f t="shared" si="7"/>
        <v>#VALUE!</v>
      </c>
      <c r="N62" s="284">
        <f t="shared" si="8"/>
        <v>0</v>
      </c>
      <c r="O62" s="284" t="e">
        <f t="shared" si="9"/>
        <v>#VALUE!</v>
      </c>
      <c r="P62" s="284" t="e">
        <f t="shared" si="10"/>
        <v>#VALUE!</v>
      </c>
    </row>
    <row r="63" spans="1:16" ht="12.75">
      <c r="A63" s="469"/>
      <c r="B63" s="346" t="s">
        <v>130</v>
      </c>
      <c r="C63" s="346" t="s">
        <v>3</v>
      </c>
      <c r="D63" s="346" t="s">
        <v>319</v>
      </c>
      <c r="E63" s="347" t="s">
        <v>333</v>
      </c>
      <c r="F63" s="347" t="s">
        <v>348</v>
      </c>
      <c r="G63" s="347" t="s">
        <v>335</v>
      </c>
      <c r="H63" s="347" t="s">
        <v>336</v>
      </c>
      <c r="I63" s="347" t="s">
        <v>350</v>
      </c>
      <c r="J63" s="348" t="s">
        <v>338</v>
      </c>
      <c r="L63" s="284" t="e">
        <f t="shared" si="6"/>
        <v>#VALUE!</v>
      </c>
      <c r="M63" s="284" t="e">
        <f t="shared" si="7"/>
        <v>#VALUE!</v>
      </c>
      <c r="N63" s="284" t="e">
        <f t="shared" si="8"/>
        <v>#VALUE!</v>
      </c>
      <c r="O63" s="284" t="e">
        <f t="shared" si="9"/>
        <v>#VALUE!</v>
      </c>
      <c r="P63" s="284" t="e">
        <f t="shared" si="10"/>
        <v>#VALUE!</v>
      </c>
    </row>
    <row r="64" spans="1:16" ht="12.75">
      <c r="A64" s="469"/>
      <c r="B64" s="349"/>
      <c r="C64" s="349"/>
      <c r="D64" s="349"/>
      <c r="E64" s="350"/>
      <c r="F64" s="350"/>
      <c r="G64" s="350"/>
      <c r="H64" s="350"/>
      <c r="I64" s="350" t="s">
        <v>338</v>
      </c>
      <c r="J64" s="280"/>
      <c r="L64" s="284">
        <f t="shared" si="6"/>
        <v>0</v>
      </c>
      <c r="M64" s="284">
        <f t="shared" si="7"/>
        <v>0</v>
      </c>
      <c r="N64" s="284">
        <f t="shared" si="8"/>
        <v>0</v>
      </c>
      <c r="O64" s="284" t="e">
        <f t="shared" si="9"/>
        <v>#VALUE!</v>
      </c>
      <c r="P64" s="284">
        <f t="shared" si="10"/>
        <v>0</v>
      </c>
    </row>
    <row r="65" spans="1:16" ht="12.75">
      <c r="A65" s="469"/>
      <c r="B65" s="351"/>
      <c r="C65" s="352" t="s">
        <v>320</v>
      </c>
      <c r="D65" s="352" t="s">
        <v>351</v>
      </c>
      <c r="E65" s="333" t="s">
        <v>341</v>
      </c>
      <c r="F65" s="868">
        <v>20.71</v>
      </c>
      <c r="G65" s="868">
        <v>20.14</v>
      </c>
      <c r="H65" s="868">
        <v>23.52</v>
      </c>
      <c r="I65" s="868">
        <v>21.96</v>
      </c>
      <c r="J65" s="868">
        <v>24.19</v>
      </c>
      <c r="K65" s="284"/>
      <c r="L65" s="284">
        <f>+ROUND(F65,2)</f>
        <v>20.71</v>
      </c>
      <c r="M65" s="284">
        <f t="shared" si="7"/>
        <v>20.14</v>
      </c>
      <c r="N65" s="284">
        <f t="shared" si="8"/>
        <v>23.52</v>
      </c>
      <c r="O65" s="284">
        <f t="shared" si="9"/>
        <v>21.96</v>
      </c>
      <c r="P65" s="284">
        <f t="shared" si="10"/>
        <v>24.19</v>
      </c>
    </row>
    <row r="66" spans="1:16" ht="12.75">
      <c r="A66" s="469"/>
      <c r="B66" s="353" t="s">
        <v>323</v>
      </c>
      <c r="C66" s="354" t="s">
        <v>328</v>
      </c>
      <c r="D66" s="355" t="s">
        <v>351</v>
      </c>
      <c r="E66" s="337" t="s">
        <v>341</v>
      </c>
      <c r="F66" s="874">
        <v>18.69</v>
      </c>
      <c r="G66" s="874">
        <v>18.18</v>
      </c>
      <c r="H66" s="874">
        <v>22.34</v>
      </c>
      <c r="I66" s="874">
        <v>20.14</v>
      </c>
      <c r="J66" s="874">
        <v>22.54</v>
      </c>
      <c r="K66" s="284"/>
      <c r="L66" s="284">
        <f t="shared" si="6"/>
        <v>18.69</v>
      </c>
      <c r="M66" s="284">
        <f t="shared" si="7"/>
        <v>18.18</v>
      </c>
      <c r="N66" s="284">
        <f t="shared" si="8"/>
        <v>22.34</v>
      </c>
      <c r="O66" s="284">
        <f t="shared" si="9"/>
        <v>20.14</v>
      </c>
      <c r="P66" s="284">
        <f t="shared" si="10"/>
        <v>22.54</v>
      </c>
    </row>
    <row r="67" spans="1:16" ht="12.75">
      <c r="A67" s="469"/>
      <c r="B67" s="353" t="s">
        <v>325</v>
      </c>
      <c r="C67" s="354" t="s">
        <v>339</v>
      </c>
      <c r="D67" s="355" t="s">
        <v>352</v>
      </c>
      <c r="E67" s="337" t="s">
        <v>341</v>
      </c>
      <c r="F67" s="874">
        <v>149.49</v>
      </c>
      <c r="G67" s="874">
        <v>149.49</v>
      </c>
      <c r="H67" s="874">
        <v>155.47</v>
      </c>
      <c r="I67" s="874">
        <v>162.06</v>
      </c>
      <c r="J67" s="874">
        <v>168</v>
      </c>
      <c r="K67" s="284"/>
      <c r="L67" s="284">
        <f t="shared" si="6"/>
        <v>149.49</v>
      </c>
      <c r="M67" s="284">
        <f t="shared" si="7"/>
        <v>149.49</v>
      </c>
      <c r="N67" s="284">
        <f t="shared" si="8"/>
        <v>155.47</v>
      </c>
      <c r="O67" s="284">
        <f t="shared" si="9"/>
        <v>162.06</v>
      </c>
      <c r="P67" s="284">
        <f t="shared" si="10"/>
        <v>168</v>
      </c>
    </row>
    <row r="68" spans="1:16" ht="12.75">
      <c r="A68" s="469"/>
      <c r="B68" s="285" t="s">
        <v>448</v>
      </c>
      <c r="C68" s="352"/>
      <c r="D68" s="355" t="s">
        <v>353</v>
      </c>
      <c r="E68" s="337" t="s">
        <v>341</v>
      </c>
      <c r="F68" s="874">
        <v>149.49</v>
      </c>
      <c r="G68" s="874">
        <v>149.49</v>
      </c>
      <c r="H68" s="874">
        <v>155.47</v>
      </c>
      <c r="I68" s="874">
        <v>162.06</v>
      </c>
      <c r="J68" s="874">
        <v>168</v>
      </c>
      <c r="K68" s="284"/>
      <c r="L68" s="284">
        <f t="shared" si="6"/>
        <v>149.49</v>
      </c>
      <c r="M68" s="284">
        <f t="shared" si="7"/>
        <v>149.49</v>
      </c>
      <c r="N68" s="284">
        <f t="shared" si="8"/>
        <v>155.47</v>
      </c>
      <c r="O68" s="284">
        <f t="shared" si="9"/>
        <v>162.06</v>
      </c>
      <c r="P68" s="284">
        <f t="shared" si="10"/>
        <v>168</v>
      </c>
    </row>
    <row r="69" spans="1:16" ht="12.75">
      <c r="A69" s="469"/>
      <c r="B69" s="353"/>
      <c r="C69" s="354" t="s">
        <v>344</v>
      </c>
      <c r="D69" s="355" t="s">
        <v>354</v>
      </c>
      <c r="E69" s="337" t="s">
        <v>341</v>
      </c>
      <c r="F69" s="874">
        <v>206.25</v>
      </c>
      <c r="G69" s="874">
        <v>206.25</v>
      </c>
      <c r="H69" s="874">
        <v>214.23</v>
      </c>
      <c r="I69" s="874">
        <v>224.26</v>
      </c>
      <c r="J69" s="874">
        <v>232.17</v>
      </c>
      <c r="K69" s="284"/>
      <c r="L69" s="284">
        <f t="shared" si="6"/>
        <v>206.25</v>
      </c>
      <c r="M69" s="284">
        <f t="shared" si="7"/>
        <v>206.25</v>
      </c>
      <c r="N69" s="284">
        <f t="shared" si="8"/>
        <v>214.23</v>
      </c>
      <c r="O69" s="284">
        <f t="shared" si="9"/>
        <v>224.26</v>
      </c>
      <c r="P69" s="284">
        <f t="shared" si="10"/>
        <v>232.17</v>
      </c>
    </row>
    <row r="70" spans="1:16" ht="12.75">
      <c r="A70" s="469"/>
      <c r="B70" s="338"/>
      <c r="C70" s="356"/>
      <c r="D70" s="355" t="s">
        <v>355</v>
      </c>
      <c r="E70" s="337" t="s">
        <v>341</v>
      </c>
      <c r="F70" s="874">
        <v>206.25</v>
      </c>
      <c r="G70" s="874">
        <v>206.25</v>
      </c>
      <c r="H70" s="874">
        <v>214.23</v>
      </c>
      <c r="I70" s="874">
        <v>224.26</v>
      </c>
      <c r="J70" s="874">
        <v>232.17</v>
      </c>
      <c r="K70" s="284"/>
      <c r="L70" s="284">
        <f t="shared" si="6"/>
        <v>206.25</v>
      </c>
      <c r="M70" s="284">
        <f t="shared" si="7"/>
        <v>206.25</v>
      </c>
      <c r="N70" s="284">
        <f t="shared" si="8"/>
        <v>214.23</v>
      </c>
      <c r="O70" s="284">
        <f t="shared" si="9"/>
        <v>224.26</v>
      </c>
      <c r="P70" s="284">
        <f t="shared" si="10"/>
        <v>232.17</v>
      </c>
    </row>
    <row r="72" spans="2:11" ht="12.75">
      <c r="B72" s="400"/>
      <c r="C72" s="400"/>
      <c r="D72" s="400"/>
      <c r="E72" s="400"/>
      <c r="F72" s="400"/>
      <c r="G72" s="400"/>
      <c r="H72" s="400"/>
      <c r="I72" s="400"/>
      <c r="J72" s="400"/>
      <c r="K72" s="400"/>
    </row>
    <row r="74" spans="2:8" ht="18.75">
      <c r="B74" s="937" t="s">
        <v>356</v>
      </c>
      <c r="C74" s="937"/>
      <c r="D74" s="937"/>
      <c r="E74" s="937"/>
      <c r="F74" s="937"/>
      <c r="G74" s="937"/>
      <c r="H74" s="937"/>
    </row>
    <row r="75" spans="2:8" ht="15">
      <c r="B75" s="938"/>
      <c r="C75" s="938"/>
      <c r="D75" s="938"/>
      <c r="E75" s="938"/>
      <c r="F75" s="938"/>
      <c r="G75" s="938"/>
      <c r="H75" s="938"/>
    </row>
    <row r="76" spans="1:10" ht="12.75">
      <c r="A76" s="469"/>
      <c r="B76" s="342" t="s">
        <v>50</v>
      </c>
      <c r="C76" s="341"/>
      <c r="D76" s="341"/>
      <c r="E76" s="939" t="s">
        <v>318</v>
      </c>
      <c r="F76" s="940"/>
      <c r="G76" s="940"/>
      <c r="H76" s="941"/>
      <c r="I76" s="357"/>
      <c r="J76" s="357"/>
    </row>
    <row r="77" spans="1:10" ht="22.5">
      <c r="A77" s="469"/>
      <c r="B77" s="358" t="s">
        <v>130</v>
      </c>
      <c r="C77" s="359" t="s">
        <v>3</v>
      </c>
      <c r="D77" s="359" t="s">
        <v>319</v>
      </c>
      <c r="E77" s="360" t="s">
        <v>248</v>
      </c>
      <c r="F77" s="360" t="s">
        <v>260</v>
      </c>
      <c r="G77" s="360" t="s">
        <v>447</v>
      </c>
      <c r="H77" s="360" t="s">
        <v>251</v>
      </c>
      <c r="I77" s="330"/>
      <c r="J77" s="330"/>
    </row>
    <row r="78" spans="1:13" ht="12.75">
      <c r="A78" s="469"/>
      <c r="B78" s="361"/>
      <c r="C78" s="301" t="s">
        <v>320</v>
      </c>
      <c r="D78" s="336" t="s">
        <v>321</v>
      </c>
      <c r="E78" s="870">
        <v>10.8</v>
      </c>
      <c r="F78" s="870">
        <v>5.93</v>
      </c>
      <c r="G78" s="870">
        <v>5.91</v>
      </c>
      <c r="H78" s="870">
        <v>5.8</v>
      </c>
      <c r="I78" s="339"/>
      <c r="J78" s="339">
        <f>+ROUND(E78,2)</f>
        <v>10.8</v>
      </c>
      <c r="K78" s="339">
        <f>+ROUND(F78,2)</f>
        <v>5.93</v>
      </c>
      <c r="L78" s="339">
        <f>+ROUND(G78,2)</f>
        <v>5.91</v>
      </c>
      <c r="M78" s="339">
        <f>+ROUND(H78,2)</f>
        <v>5.8</v>
      </c>
    </row>
    <row r="79" spans="1:13" ht="12.75">
      <c r="A79" s="469"/>
      <c r="B79" s="351"/>
      <c r="C79" s="286"/>
      <c r="D79" s="336" t="s">
        <v>322</v>
      </c>
      <c r="E79" s="870">
        <v>13.41</v>
      </c>
      <c r="F79" s="870">
        <v>7.6</v>
      </c>
      <c r="G79" s="870">
        <v>7.58</v>
      </c>
      <c r="H79" s="870">
        <v>7.51</v>
      </c>
      <c r="I79" s="339"/>
      <c r="J79" s="339">
        <f aca="true" t="shared" si="11" ref="J79:J85">+ROUND(E79,2)</f>
        <v>13.41</v>
      </c>
      <c r="K79" s="339">
        <f aca="true" t="shared" si="12" ref="K79:K85">+ROUND(F79,2)</f>
        <v>7.6</v>
      </c>
      <c r="L79" s="339">
        <f aca="true" t="shared" si="13" ref="L79:L85">+ROUND(G79,2)</f>
        <v>7.58</v>
      </c>
      <c r="M79" s="339">
        <f aca="true" t="shared" si="14" ref="M79:M85">+ROUND(H79,2)</f>
        <v>7.51</v>
      </c>
    </row>
    <row r="80" spans="1:13" ht="12.75">
      <c r="A80" s="469"/>
      <c r="B80" s="362" t="s">
        <v>357</v>
      </c>
      <c r="C80" s="286"/>
      <c r="D80" s="336" t="s">
        <v>324</v>
      </c>
      <c r="E80" s="870">
        <v>13.49</v>
      </c>
      <c r="F80" s="870">
        <v>7.77</v>
      </c>
      <c r="G80" s="870">
        <v>7.75</v>
      </c>
      <c r="H80" s="870">
        <v>7.61</v>
      </c>
      <c r="I80" s="339"/>
      <c r="J80" s="339">
        <f t="shared" si="11"/>
        <v>13.49</v>
      </c>
      <c r="K80" s="339">
        <f t="shared" si="12"/>
        <v>7.77</v>
      </c>
      <c r="L80" s="339">
        <f t="shared" si="13"/>
        <v>7.75</v>
      </c>
      <c r="M80" s="339">
        <f t="shared" si="14"/>
        <v>7.61</v>
      </c>
    </row>
    <row r="81" spans="1:13" ht="12.75">
      <c r="A81" s="469"/>
      <c r="B81" s="362" t="s">
        <v>358</v>
      </c>
      <c r="C81" s="286"/>
      <c r="D81" s="336" t="s">
        <v>326</v>
      </c>
      <c r="E81" s="870">
        <v>22.74</v>
      </c>
      <c r="F81" s="870">
        <v>20.95</v>
      </c>
      <c r="G81" s="870">
        <v>20.95</v>
      </c>
      <c r="H81" s="870">
        <v>21.03</v>
      </c>
      <c r="I81" s="339"/>
      <c r="J81" s="339">
        <f t="shared" si="11"/>
        <v>22.74</v>
      </c>
      <c r="K81" s="339">
        <f t="shared" si="12"/>
        <v>20.95</v>
      </c>
      <c r="L81" s="339">
        <f t="shared" si="13"/>
        <v>20.95</v>
      </c>
      <c r="M81" s="339">
        <f t="shared" si="14"/>
        <v>21.03</v>
      </c>
    </row>
    <row r="82" spans="1:13" ht="12.75">
      <c r="A82" s="469"/>
      <c r="B82" s="285" t="s">
        <v>448</v>
      </c>
      <c r="C82" s="363" t="s">
        <v>328</v>
      </c>
      <c r="D82" s="364" t="s">
        <v>321</v>
      </c>
      <c r="E82" s="875">
        <v>14.03</v>
      </c>
      <c r="F82" s="875">
        <v>8.25</v>
      </c>
      <c r="G82" s="875">
        <v>8.23</v>
      </c>
      <c r="H82" s="875">
        <v>8.01</v>
      </c>
      <c r="I82" s="339"/>
      <c r="J82" s="339">
        <f t="shared" si="11"/>
        <v>14.03</v>
      </c>
      <c r="K82" s="339">
        <f t="shared" si="12"/>
        <v>8.25</v>
      </c>
      <c r="L82" s="339">
        <f t="shared" si="13"/>
        <v>8.23</v>
      </c>
      <c r="M82" s="339">
        <f t="shared" si="14"/>
        <v>8.01</v>
      </c>
    </row>
    <row r="83" spans="1:13" ht="12.75">
      <c r="A83" s="469"/>
      <c r="B83" s="362"/>
      <c r="C83" s="286"/>
      <c r="D83" s="364" t="s">
        <v>322</v>
      </c>
      <c r="E83" s="875">
        <v>16.66</v>
      </c>
      <c r="F83" s="875">
        <v>9.36</v>
      </c>
      <c r="G83" s="875">
        <v>9.34</v>
      </c>
      <c r="H83" s="875">
        <v>9.2</v>
      </c>
      <c r="I83" s="339"/>
      <c r="J83" s="339">
        <f t="shared" si="11"/>
        <v>16.66</v>
      </c>
      <c r="K83" s="339">
        <f t="shared" si="12"/>
        <v>9.36</v>
      </c>
      <c r="L83" s="339">
        <f t="shared" si="13"/>
        <v>9.34</v>
      </c>
      <c r="M83" s="339">
        <f t="shared" si="14"/>
        <v>9.2</v>
      </c>
    </row>
    <row r="84" spans="1:13" ht="12.75">
      <c r="A84" s="469"/>
      <c r="B84" s="362"/>
      <c r="C84" s="286"/>
      <c r="D84" s="364" t="s">
        <v>324</v>
      </c>
      <c r="E84" s="875">
        <v>17.39</v>
      </c>
      <c r="F84" s="875">
        <v>10.38</v>
      </c>
      <c r="G84" s="875">
        <v>10.36</v>
      </c>
      <c r="H84" s="875">
        <v>10.08</v>
      </c>
      <c r="I84" s="339"/>
      <c r="J84" s="339">
        <f t="shared" si="11"/>
        <v>17.39</v>
      </c>
      <c r="K84" s="339">
        <f t="shared" si="12"/>
        <v>10.38</v>
      </c>
      <c r="L84" s="339">
        <f t="shared" si="13"/>
        <v>10.36</v>
      </c>
      <c r="M84" s="339">
        <f t="shared" si="14"/>
        <v>10.08</v>
      </c>
    </row>
    <row r="85" spans="1:13" ht="12.75">
      <c r="A85" s="469"/>
      <c r="B85" s="365"/>
      <c r="C85" s="291"/>
      <c r="D85" s="304" t="s">
        <v>326</v>
      </c>
      <c r="E85" s="876">
        <v>28.25</v>
      </c>
      <c r="F85" s="876">
        <v>26.5</v>
      </c>
      <c r="G85" s="876">
        <v>26.5</v>
      </c>
      <c r="H85" s="876">
        <v>26.77</v>
      </c>
      <c r="I85" s="339"/>
      <c r="J85" s="339">
        <f t="shared" si="11"/>
        <v>28.25</v>
      </c>
      <c r="K85" s="339">
        <f t="shared" si="12"/>
        <v>26.5</v>
      </c>
      <c r="L85" s="339">
        <f t="shared" si="13"/>
        <v>26.5</v>
      </c>
      <c r="M85" s="339">
        <f t="shared" si="14"/>
        <v>26.77</v>
      </c>
    </row>
    <row r="87" spans="1:10" ht="12.75">
      <c r="A87" s="469"/>
      <c r="B87" s="272" t="s">
        <v>50</v>
      </c>
      <c r="C87" s="366"/>
      <c r="D87" s="366"/>
      <c r="E87" s="934" t="s">
        <v>318</v>
      </c>
      <c r="F87" s="942"/>
      <c r="G87" s="942"/>
      <c r="H87" s="943"/>
      <c r="I87" s="357"/>
      <c r="J87" s="357"/>
    </row>
    <row r="88" spans="1:10" ht="12.75">
      <c r="A88" s="469"/>
      <c r="B88" s="367" t="s">
        <v>130</v>
      </c>
      <c r="C88" s="367" t="s">
        <v>3</v>
      </c>
      <c r="D88" s="367" t="s">
        <v>319</v>
      </c>
      <c r="E88" s="368" t="s">
        <v>252</v>
      </c>
      <c r="F88" s="368" t="s">
        <v>263</v>
      </c>
      <c r="G88" s="368" t="s">
        <v>254</v>
      </c>
      <c r="H88" s="368" t="s">
        <v>265</v>
      </c>
      <c r="I88" s="330"/>
      <c r="J88" s="330"/>
    </row>
    <row r="89" spans="1:13" ht="12.75">
      <c r="A89" s="469"/>
      <c r="B89" s="361"/>
      <c r="C89" s="301" t="s">
        <v>320</v>
      </c>
      <c r="D89" s="364" t="s">
        <v>321</v>
      </c>
      <c r="E89" s="875">
        <v>7.16</v>
      </c>
      <c r="F89" s="875">
        <v>6.78</v>
      </c>
      <c r="G89" s="875">
        <v>7.45</v>
      </c>
      <c r="H89" s="875">
        <v>6.69</v>
      </c>
      <c r="I89" s="339"/>
      <c r="J89" s="339">
        <f>+ROUND(E89,2)</f>
        <v>7.16</v>
      </c>
      <c r="K89" s="339">
        <f>+ROUND(F89,2)</f>
        <v>6.78</v>
      </c>
      <c r="L89" s="339">
        <f>+ROUND(G89,2)</f>
        <v>7.45</v>
      </c>
      <c r="M89" s="339">
        <f>+ROUND(H89,2)</f>
        <v>6.69</v>
      </c>
    </row>
    <row r="90" spans="1:13" ht="12.75">
      <c r="A90" s="469"/>
      <c r="B90" s="351"/>
      <c r="C90" s="286"/>
      <c r="D90" s="364" t="s">
        <v>322</v>
      </c>
      <c r="E90" s="875">
        <v>8.97</v>
      </c>
      <c r="F90" s="875">
        <v>8.67</v>
      </c>
      <c r="G90" s="875">
        <v>9.47</v>
      </c>
      <c r="H90" s="875">
        <v>8.39</v>
      </c>
      <c r="I90" s="339"/>
      <c r="J90" s="339">
        <f aca="true" t="shared" si="15" ref="J90:J96">+ROUND(E90,2)</f>
        <v>8.97</v>
      </c>
      <c r="K90" s="339">
        <f aca="true" t="shared" si="16" ref="K90:K96">+ROUND(F90,2)</f>
        <v>8.67</v>
      </c>
      <c r="L90" s="339">
        <f aca="true" t="shared" si="17" ref="L90:L96">+ROUND(G90,2)</f>
        <v>9.47</v>
      </c>
      <c r="M90" s="339">
        <f aca="true" t="shared" si="18" ref="M90:M96">+ROUND(H90,2)</f>
        <v>8.39</v>
      </c>
    </row>
    <row r="91" spans="1:13" ht="12.75">
      <c r="A91" s="469"/>
      <c r="B91" s="362" t="s">
        <v>357</v>
      </c>
      <c r="C91" s="286"/>
      <c r="D91" s="364" t="s">
        <v>324</v>
      </c>
      <c r="E91" s="875">
        <v>9.04</v>
      </c>
      <c r="F91" s="875">
        <v>8.76</v>
      </c>
      <c r="G91" s="875">
        <v>9.56</v>
      </c>
      <c r="H91" s="875">
        <v>8.46</v>
      </c>
      <c r="I91" s="339"/>
      <c r="J91" s="339">
        <f t="shared" si="15"/>
        <v>9.04</v>
      </c>
      <c r="K91" s="339">
        <f t="shared" si="16"/>
        <v>8.76</v>
      </c>
      <c r="L91" s="339">
        <f t="shared" si="17"/>
        <v>9.56</v>
      </c>
      <c r="M91" s="339">
        <f t="shared" si="18"/>
        <v>8.46</v>
      </c>
    </row>
    <row r="92" spans="1:13" ht="12.75">
      <c r="A92" s="469"/>
      <c r="B92" s="362" t="s">
        <v>358</v>
      </c>
      <c r="C92" s="286"/>
      <c r="D92" s="364" t="s">
        <v>326</v>
      </c>
      <c r="E92" s="875">
        <v>23.28</v>
      </c>
      <c r="F92" s="875">
        <v>21.36</v>
      </c>
      <c r="G92" s="875">
        <v>21.6</v>
      </c>
      <c r="H92" s="875">
        <v>23.27</v>
      </c>
      <c r="I92" s="339"/>
      <c r="J92" s="339">
        <f t="shared" si="15"/>
        <v>23.28</v>
      </c>
      <c r="K92" s="339">
        <f t="shared" si="16"/>
        <v>21.36</v>
      </c>
      <c r="L92" s="339">
        <f t="shared" si="17"/>
        <v>21.6</v>
      </c>
      <c r="M92" s="339">
        <f t="shared" si="18"/>
        <v>23.27</v>
      </c>
    </row>
    <row r="93" spans="1:13" ht="12.75">
      <c r="A93" s="469"/>
      <c r="B93" s="285" t="s">
        <v>448</v>
      </c>
      <c r="C93" s="369" t="s">
        <v>328</v>
      </c>
      <c r="D93" s="370" t="s">
        <v>321</v>
      </c>
      <c r="E93" s="876">
        <v>9.89</v>
      </c>
      <c r="F93" s="876">
        <v>9.19</v>
      </c>
      <c r="G93" s="876">
        <v>10.01</v>
      </c>
      <c r="H93" s="876">
        <v>9.33</v>
      </c>
      <c r="I93" s="339"/>
      <c r="J93" s="339">
        <f t="shared" si="15"/>
        <v>9.89</v>
      </c>
      <c r="K93" s="339">
        <f t="shared" si="16"/>
        <v>9.19</v>
      </c>
      <c r="L93" s="339">
        <f t="shared" si="17"/>
        <v>10.01</v>
      </c>
      <c r="M93" s="339">
        <f t="shared" si="18"/>
        <v>9.33</v>
      </c>
    </row>
    <row r="94" spans="1:13" ht="12.75">
      <c r="A94" s="469"/>
      <c r="B94" s="362"/>
      <c r="C94" s="286"/>
      <c r="D94" s="370" t="s">
        <v>322</v>
      </c>
      <c r="E94" s="876">
        <v>10.97</v>
      </c>
      <c r="F94" s="876">
        <v>10.66</v>
      </c>
      <c r="G94" s="876">
        <v>11.67</v>
      </c>
      <c r="H94" s="876">
        <v>10.23</v>
      </c>
      <c r="I94" s="339"/>
      <c r="J94" s="339">
        <f t="shared" si="15"/>
        <v>10.97</v>
      </c>
      <c r="K94" s="339">
        <f t="shared" si="16"/>
        <v>10.66</v>
      </c>
      <c r="L94" s="339">
        <f t="shared" si="17"/>
        <v>11.67</v>
      </c>
      <c r="M94" s="339">
        <f t="shared" si="18"/>
        <v>10.23</v>
      </c>
    </row>
    <row r="95" spans="1:13" ht="12.75">
      <c r="A95" s="469"/>
      <c r="B95" s="362"/>
      <c r="C95" s="286"/>
      <c r="D95" s="370" t="s">
        <v>324</v>
      </c>
      <c r="E95" s="876">
        <v>12.24</v>
      </c>
      <c r="F95" s="876">
        <v>11.51</v>
      </c>
      <c r="G95" s="876">
        <v>12.5</v>
      </c>
      <c r="H95" s="876">
        <v>11.56</v>
      </c>
      <c r="I95" s="339"/>
      <c r="J95" s="339">
        <f t="shared" si="15"/>
        <v>12.24</v>
      </c>
      <c r="K95" s="339">
        <f t="shared" si="16"/>
        <v>11.51</v>
      </c>
      <c r="L95" s="339">
        <f t="shared" si="17"/>
        <v>12.5</v>
      </c>
      <c r="M95" s="339">
        <f t="shared" si="18"/>
        <v>11.56</v>
      </c>
    </row>
    <row r="96" spans="1:13" ht="12.75">
      <c r="A96" s="469"/>
      <c r="B96" s="365"/>
      <c r="C96" s="291"/>
      <c r="D96" s="304" t="s">
        <v>326</v>
      </c>
      <c r="E96" s="876">
        <v>29.98</v>
      </c>
      <c r="F96" s="876">
        <v>27.06</v>
      </c>
      <c r="G96" s="876">
        <v>27.26</v>
      </c>
      <c r="H96" s="876">
        <v>30.06</v>
      </c>
      <c r="I96" s="339"/>
      <c r="J96" s="339">
        <f t="shared" si="15"/>
        <v>29.98</v>
      </c>
      <c r="K96" s="339">
        <f t="shared" si="16"/>
        <v>27.06</v>
      </c>
      <c r="L96" s="339">
        <f t="shared" si="17"/>
        <v>27.26</v>
      </c>
      <c r="M96" s="339">
        <f t="shared" si="18"/>
        <v>30.06</v>
      </c>
    </row>
    <row r="98" spans="1:10" ht="12.75">
      <c r="A98" s="469"/>
      <c r="B98" s="272" t="s">
        <v>50</v>
      </c>
      <c r="C98" s="371"/>
      <c r="D98" s="371"/>
      <c r="E98" s="934" t="s">
        <v>318</v>
      </c>
      <c r="F98" s="935"/>
      <c r="G98" s="935"/>
      <c r="H98" s="936"/>
      <c r="I98" s="357"/>
      <c r="J98" s="357"/>
    </row>
    <row r="99" spans="1:10" ht="22.5">
      <c r="A99" s="469"/>
      <c r="B99" s="279" t="s">
        <v>130</v>
      </c>
      <c r="C99" s="279" t="s">
        <v>3</v>
      </c>
      <c r="D99" s="279" t="s">
        <v>319</v>
      </c>
      <c r="E99" s="280" t="s">
        <v>255</v>
      </c>
      <c r="F99" s="280" t="s">
        <v>266</v>
      </c>
      <c r="G99" s="280" t="s">
        <v>256</v>
      </c>
      <c r="H99" s="280" t="s">
        <v>257</v>
      </c>
      <c r="I99" s="330"/>
      <c r="J99" s="330"/>
    </row>
    <row r="100" spans="1:13" ht="12.75">
      <c r="A100" s="469"/>
      <c r="B100" s="361"/>
      <c r="C100" s="301" t="s">
        <v>320</v>
      </c>
      <c r="D100" s="364" t="s">
        <v>321</v>
      </c>
      <c r="E100" s="875">
        <v>7.24</v>
      </c>
      <c r="F100" s="875">
        <v>6.12</v>
      </c>
      <c r="G100" s="875">
        <v>6.08</v>
      </c>
      <c r="H100" s="875">
        <v>5.83</v>
      </c>
      <c r="I100" s="339"/>
      <c r="J100" s="339">
        <f>+ROUND(E100,2)</f>
        <v>7.24</v>
      </c>
      <c r="K100" s="339">
        <f>+ROUND(F100,2)</f>
        <v>6.12</v>
      </c>
      <c r="L100" s="339">
        <f>+ROUND(G100,2)</f>
        <v>6.08</v>
      </c>
      <c r="M100" s="339">
        <f>+ROUND(H100,2)</f>
        <v>5.83</v>
      </c>
    </row>
    <row r="101" spans="1:13" ht="12.75">
      <c r="A101" s="469"/>
      <c r="B101" s="351"/>
      <c r="C101" s="286"/>
      <c r="D101" s="364" t="s">
        <v>322</v>
      </c>
      <c r="E101" s="875">
        <v>9.21</v>
      </c>
      <c r="F101" s="875">
        <v>7.89</v>
      </c>
      <c r="G101" s="875">
        <v>7.84</v>
      </c>
      <c r="H101" s="875">
        <v>7.56</v>
      </c>
      <c r="I101" s="339"/>
      <c r="J101" s="339">
        <f aca="true" t="shared" si="19" ref="J101:J107">+ROUND(E101,2)</f>
        <v>9.21</v>
      </c>
      <c r="K101" s="339">
        <f aca="true" t="shared" si="20" ref="K101:K107">+ROUND(F101,2)</f>
        <v>7.89</v>
      </c>
      <c r="L101" s="339">
        <f aca="true" t="shared" si="21" ref="L101:L107">+ROUND(G101,2)</f>
        <v>7.84</v>
      </c>
      <c r="M101" s="339">
        <f aca="true" t="shared" si="22" ref="M101:M107">+ROUND(H101,2)</f>
        <v>7.56</v>
      </c>
    </row>
    <row r="102" spans="1:13" ht="12.75">
      <c r="A102" s="469"/>
      <c r="B102" s="362" t="s">
        <v>357</v>
      </c>
      <c r="C102" s="286"/>
      <c r="D102" s="364" t="s">
        <v>324</v>
      </c>
      <c r="E102" s="875">
        <v>9.3</v>
      </c>
      <c r="F102" s="875">
        <v>7.99</v>
      </c>
      <c r="G102" s="875">
        <v>7.94</v>
      </c>
      <c r="H102" s="875">
        <v>7.66</v>
      </c>
      <c r="I102" s="339"/>
      <c r="J102" s="339">
        <f t="shared" si="19"/>
        <v>9.3</v>
      </c>
      <c r="K102" s="339">
        <f t="shared" si="20"/>
        <v>7.99</v>
      </c>
      <c r="L102" s="339">
        <f t="shared" si="21"/>
        <v>7.94</v>
      </c>
      <c r="M102" s="339">
        <f t="shared" si="22"/>
        <v>7.66</v>
      </c>
    </row>
    <row r="103" spans="1:13" ht="12.75">
      <c r="A103" s="469"/>
      <c r="B103" s="362" t="s">
        <v>358</v>
      </c>
      <c r="C103" s="286"/>
      <c r="D103" s="364" t="s">
        <v>326</v>
      </c>
      <c r="E103" s="875">
        <v>21.52</v>
      </c>
      <c r="F103" s="875">
        <v>21.14</v>
      </c>
      <c r="G103" s="875">
        <v>21.13</v>
      </c>
      <c r="H103" s="875">
        <v>21.04</v>
      </c>
      <c r="I103" s="339"/>
      <c r="J103" s="339">
        <f t="shared" si="19"/>
        <v>21.52</v>
      </c>
      <c r="K103" s="339">
        <f t="shared" si="20"/>
        <v>21.14</v>
      </c>
      <c r="L103" s="339">
        <f t="shared" si="21"/>
        <v>21.13</v>
      </c>
      <c r="M103" s="339">
        <f t="shared" si="22"/>
        <v>21.04</v>
      </c>
    </row>
    <row r="104" spans="1:13" ht="12.75">
      <c r="A104" s="469"/>
      <c r="B104" s="285" t="s">
        <v>448</v>
      </c>
      <c r="C104" s="369" t="s">
        <v>328</v>
      </c>
      <c r="D104" s="370" t="s">
        <v>321</v>
      </c>
      <c r="E104" s="876">
        <v>9.75</v>
      </c>
      <c r="F104" s="876">
        <v>8.4</v>
      </c>
      <c r="G104" s="876">
        <v>8.35</v>
      </c>
      <c r="H104" s="876">
        <v>8.06</v>
      </c>
      <c r="I104" s="339"/>
      <c r="J104" s="339">
        <f t="shared" si="19"/>
        <v>9.75</v>
      </c>
      <c r="K104" s="339">
        <f t="shared" si="20"/>
        <v>8.4</v>
      </c>
      <c r="L104" s="339">
        <f t="shared" si="21"/>
        <v>8.35</v>
      </c>
      <c r="M104" s="339">
        <f t="shared" si="22"/>
        <v>8.06</v>
      </c>
    </row>
    <row r="105" spans="1:13" ht="12.75">
      <c r="A105" s="469"/>
      <c r="B105" s="362"/>
      <c r="C105" s="286"/>
      <c r="D105" s="370" t="s">
        <v>322</v>
      </c>
      <c r="E105" s="876">
        <v>11.35</v>
      </c>
      <c r="F105" s="876">
        <v>9.68</v>
      </c>
      <c r="G105" s="876">
        <v>9.62</v>
      </c>
      <c r="H105" s="876">
        <v>9.26</v>
      </c>
      <c r="I105" s="339"/>
      <c r="J105" s="339">
        <f t="shared" si="19"/>
        <v>11.35</v>
      </c>
      <c r="K105" s="339">
        <f t="shared" si="20"/>
        <v>9.68</v>
      </c>
      <c r="L105" s="339">
        <f t="shared" si="21"/>
        <v>9.62</v>
      </c>
      <c r="M105" s="339">
        <f t="shared" si="22"/>
        <v>9.26</v>
      </c>
    </row>
    <row r="106" spans="1:13" ht="12.75">
      <c r="A106" s="469"/>
      <c r="B106" s="362"/>
      <c r="C106" s="286"/>
      <c r="D106" s="370" t="s">
        <v>324</v>
      </c>
      <c r="E106" s="876">
        <v>12.19</v>
      </c>
      <c r="F106" s="876">
        <v>10.55</v>
      </c>
      <c r="G106" s="876">
        <v>10.49</v>
      </c>
      <c r="H106" s="876">
        <v>10.14</v>
      </c>
      <c r="I106" s="339"/>
      <c r="J106" s="339">
        <f t="shared" si="19"/>
        <v>12.19</v>
      </c>
      <c r="K106" s="339">
        <f t="shared" si="20"/>
        <v>10.55</v>
      </c>
      <c r="L106" s="339">
        <f t="shared" si="21"/>
        <v>10.49</v>
      </c>
      <c r="M106" s="339">
        <f t="shared" si="22"/>
        <v>10.14</v>
      </c>
    </row>
    <row r="107" spans="1:13" ht="12.75">
      <c r="A107" s="469"/>
      <c r="B107" s="365"/>
      <c r="C107" s="291"/>
      <c r="D107" s="304" t="s">
        <v>326</v>
      </c>
      <c r="E107" s="876">
        <v>27.2</v>
      </c>
      <c r="F107" s="876">
        <v>26.87</v>
      </c>
      <c r="G107" s="876">
        <v>26.86</v>
      </c>
      <c r="H107" s="876">
        <v>26.78</v>
      </c>
      <c r="I107" s="339"/>
      <c r="J107" s="339">
        <f t="shared" si="19"/>
        <v>27.2</v>
      </c>
      <c r="K107" s="339">
        <f t="shared" si="20"/>
        <v>26.87</v>
      </c>
      <c r="L107" s="339">
        <f t="shared" si="21"/>
        <v>26.86</v>
      </c>
      <c r="M107" s="339">
        <f t="shared" si="22"/>
        <v>26.78</v>
      </c>
    </row>
    <row r="108" spans="10:12" ht="12.75">
      <c r="J108" s="339"/>
      <c r="K108" s="339"/>
      <c r="L108" s="339"/>
    </row>
    <row r="109" spans="1:10" ht="12.75">
      <c r="A109" s="469"/>
      <c r="B109" s="372" t="s">
        <v>50</v>
      </c>
      <c r="C109" s="308"/>
      <c r="D109" s="308"/>
      <c r="E109" s="939" t="s">
        <v>318</v>
      </c>
      <c r="F109" s="946"/>
      <c r="G109" s="946"/>
      <c r="H109" s="893"/>
      <c r="I109" s="357"/>
      <c r="J109" s="357"/>
    </row>
    <row r="110" spans="1:10" ht="12.75">
      <c r="A110" s="469"/>
      <c r="B110" s="373"/>
      <c r="C110" s="374"/>
      <c r="D110" s="325"/>
      <c r="E110" s="374"/>
      <c r="F110" s="374"/>
      <c r="G110" s="375" t="s">
        <v>360</v>
      </c>
      <c r="I110" s="330"/>
      <c r="J110" s="330"/>
    </row>
    <row r="111" spans="1:9" ht="12.75">
      <c r="A111" s="469"/>
      <c r="B111" s="346" t="s">
        <v>130</v>
      </c>
      <c r="C111" s="376" t="s">
        <v>3</v>
      </c>
      <c r="D111" s="329" t="s">
        <v>319</v>
      </c>
      <c r="E111" s="348" t="s">
        <v>259</v>
      </c>
      <c r="F111" s="348" t="s">
        <v>261</v>
      </c>
      <c r="G111" s="348" t="s">
        <v>361</v>
      </c>
      <c r="I111" s="330"/>
    </row>
    <row r="112" spans="1:10" ht="12.75">
      <c r="A112" s="469"/>
      <c r="B112" s="349"/>
      <c r="C112" s="316"/>
      <c r="D112" s="317"/>
      <c r="E112" s="280"/>
      <c r="F112" s="280"/>
      <c r="G112" s="280" t="s">
        <v>362</v>
      </c>
      <c r="I112" s="330"/>
      <c r="J112" s="330"/>
    </row>
    <row r="113" spans="1:12" ht="12.75">
      <c r="A113" s="469"/>
      <c r="B113" s="351"/>
      <c r="C113" s="271" t="s">
        <v>320</v>
      </c>
      <c r="D113" s="320" t="s">
        <v>321</v>
      </c>
      <c r="E113" s="901">
        <v>7.25</v>
      </c>
      <c r="F113" s="901">
        <v>6.67</v>
      </c>
      <c r="G113" s="903">
        <v>10.8</v>
      </c>
      <c r="I113" s="339"/>
      <c r="J113" s="339">
        <f>+ROUND(E113,2)</f>
        <v>7.25</v>
      </c>
      <c r="K113" s="339">
        <f>+ROUND(F113,2)</f>
        <v>6.67</v>
      </c>
      <c r="L113" s="339">
        <f>+ROUND(G113,2)</f>
        <v>10.8</v>
      </c>
    </row>
    <row r="114" spans="1:12" ht="12.75">
      <c r="A114" s="469"/>
      <c r="B114" s="351"/>
      <c r="C114" s="286"/>
      <c r="D114" s="377" t="s">
        <v>322</v>
      </c>
      <c r="E114" s="902">
        <v>9.22</v>
      </c>
      <c r="F114" s="902">
        <v>8.55</v>
      </c>
      <c r="G114" s="904">
        <v>13.41</v>
      </c>
      <c r="I114" s="339"/>
      <c r="J114" s="339">
        <f aca="true" t="shared" si="23" ref="J114:J120">+ROUND(E114,2)</f>
        <v>9.22</v>
      </c>
      <c r="K114" s="339">
        <f aca="true" t="shared" si="24" ref="K114:L120">+ROUND(F114,2)</f>
        <v>8.55</v>
      </c>
      <c r="L114" s="339">
        <f t="shared" si="24"/>
        <v>13.41</v>
      </c>
    </row>
    <row r="115" spans="1:12" ht="12.75">
      <c r="A115" s="469"/>
      <c r="B115" s="362" t="s">
        <v>357</v>
      </c>
      <c r="C115" s="286"/>
      <c r="D115" s="377" t="s">
        <v>324</v>
      </c>
      <c r="E115" s="902">
        <v>9.32</v>
      </c>
      <c r="F115" s="902">
        <v>8.64</v>
      </c>
      <c r="G115" s="904">
        <v>13.49</v>
      </c>
      <c r="I115" s="339"/>
      <c r="J115" s="339">
        <f t="shared" si="23"/>
        <v>9.32</v>
      </c>
      <c r="K115" s="339">
        <f t="shared" si="24"/>
        <v>8.64</v>
      </c>
      <c r="L115" s="339">
        <f t="shared" si="24"/>
        <v>13.49</v>
      </c>
    </row>
    <row r="116" spans="1:12" ht="12.75">
      <c r="A116" s="469"/>
      <c r="B116" s="362" t="s">
        <v>358</v>
      </c>
      <c r="C116" s="286"/>
      <c r="D116" s="377" t="s">
        <v>326</v>
      </c>
      <c r="E116" s="902">
        <v>21.53</v>
      </c>
      <c r="F116" s="902">
        <v>21.33</v>
      </c>
      <c r="G116" s="904">
        <v>22.74</v>
      </c>
      <c r="I116" s="339"/>
      <c r="J116" s="339">
        <f t="shared" si="23"/>
        <v>21.53</v>
      </c>
      <c r="K116" s="339">
        <f t="shared" si="24"/>
        <v>21.33</v>
      </c>
      <c r="L116" s="339">
        <f t="shared" si="24"/>
        <v>22.74</v>
      </c>
    </row>
    <row r="117" spans="1:12" ht="12.75">
      <c r="A117" s="469"/>
      <c r="B117" s="285" t="s">
        <v>448</v>
      </c>
      <c r="C117" s="378" t="s">
        <v>328</v>
      </c>
      <c r="D117" s="377" t="s">
        <v>321</v>
      </c>
      <c r="E117" s="902">
        <v>9.76</v>
      </c>
      <c r="F117" s="902">
        <v>9.07</v>
      </c>
      <c r="G117" s="904">
        <v>14.03</v>
      </c>
      <c r="I117" s="339"/>
      <c r="J117" s="339">
        <f t="shared" si="23"/>
        <v>9.76</v>
      </c>
      <c r="K117" s="339">
        <f t="shared" si="24"/>
        <v>9.07</v>
      </c>
      <c r="L117" s="339">
        <f t="shared" si="24"/>
        <v>14.03</v>
      </c>
    </row>
    <row r="118" spans="1:12" ht="12.75">
      <c r="A118" s="469"/>
      <c r="B118" s="362"/>
      <c r="C118" s="286"/>
      <c r="D118" s="377" t="s">
        <v>322</v>
      </c>
      <c r="E118" s="902">
        <v>11.37</v>
      </c>
      <c r="F118" s="902">
        <v>10.51</v>
      </c>
      <c r="G118" s="904">
        <v>16.66</v>
      </c>
      <c r="I118" s="339"/>
      <c r="J118" s="339">
        <f t="shared" si="23"/>
        <v>11.37</v>
      </c>
      <c r="K118" s="339">
        <f t="shared" si="24"/>
        <v>10.51</v>
      </c>
      <c r="L118" s="339">
        <f t="shared" si="24"/>
        <v>16.66</v>
      </c>
    </row>
    <row r="119" spans="1:12" ht="12.75">
      <c r="A119" s="469"/>
      <c r="B119" s="362"/>
      <c r="C119" s="286"/>
      <c r="D119" s="377" t="s">
        <v>324</v>
      </c>
      <c r="E119" s="902">
        <v>12.2</v>
      </c>
      <c r="F119" s="902">
        <v>11.36</v>
      </c>
      <c r="G119" s="904">
        <v>17.39</v>
      </c>
      <c r="I119" s="339"/>
      <c r="J119" s="339">
        <f t="shared" si="23"/>
        <v>12.2</v>
      </c>
      <c r="K119" s="339">
        <f t="shared" si="24"/>
        <v>11.36</v>
      </c>
      <c r="L119" s="339">
        <f t="shared" si="24"/>
        <v>17.39</v>
      </c>
    </row>
    <row r="120" spans="1:12" ht="12.75">
      <c r="A120" s="469"/>
      <c r="B120" s="365"/>
      <c r="C120" s="291"/>
      <c r="D120" s="304" t="s">
        <v>326</v>
      </c>
      <c r="E120" s="902">
        <v>27.2</v>
      </c>
      <c r="F120" s="902">
        <v>27.03</v>
      </c>
      <c r="G120" s="904">
        <v>28.25</v>
      </c>
      <c r="I120" s="339"/>
      <c r="J120" s="339">
        <f t="shared" si="23"/>
        <v>27.2</v>
      </c>
      <c r="K120" s="339">
        <f t="shared" si="24"/>
        <v>27.03</v>
      </c>
      <c r="L120" s="339">
        <f t="shared" si="24"/>
        <v>28.25</v>
      </c>
    </row>
    <row r="122" spans="1:10" ht="12.75">
      <c r="A122" s="469"/>
      <c r="B122" s="379" t="s">
        <v>50</v>
      </c>
      <c r="C122" s="308"/>
      <c r="D122" s="308"/>
      <c r="E122" s="380"/>
      <c r="F122" s="381" t="s">
        <v>318</v>
      </c>
      <c r="G122" s="310"/>
      <c r="H122" s="310"/>
      <c r="I122" s="311"/>
      <c r="J122" s="311"/>
    </row>
    <row r="123" spans="1:10" ht="12.75">
      <c r="A123" s="469"/>
      <c r="B123" s="374"/>
      <c r="C123" s="325"/>
      <c r="D123" s="374"/>
      <c r="E123" s="325"/>
      <c r="F123" s="374"/>
      <c r="G123" s="326" t="s">
        <v>331</v>
      </c>
      <c r="H123" s="374"/>
      <c r="I123" s="326" t="s">
        <v>349</v>
      </c>
      <c r="J123" s="375" t="s">
        <v>332</v>
      </c>
    </row>
    <row r="124" spans="1:10" ht="24.75" customHeight="1">
      <c r="A124" s="469"/>
      <c r="B124" s="376" t="s">
        <v>130</v>
      </c>
      <c r="C124" s="329" t="s">
        <v>3</v>
      </c>
      <c r="D124" s="376" t="s">
        <v>319</v>
      </c>
      <c r="E124" s="330" t="s">
        <v>333</v>
      </c>
      <c r="F124" s="348" t="s">
        <v>334</v>
      </c>
      <c r="G124" s="330" t="s">
        <v>335</v>
      </c>
      <c r="H124" s="348" t="s">
        <v>336</v>
      </c>
      <c r="I124" s="330" t="s">
        <v>363</v>
      </c>
      <c r="J124" s="348" t="s">
        <v>338</v>
      </c>
    </row>
    <row r="125" spans="1:10" ht="12.75">
      <c r="A125" s="469"/>
      <c r="B125" s="316"/>
      <c r="C125" s="317"/>
      <c r="D125" s="382"/>
      <c r="E125" s="318"/>
      <c r="F125" s="280"/>
      <c r="G125" s="318"/>
      <c r="H125" s="280"/>
      <c r="I125" s="318" t="s">
        <v>364</v>
      </c>
      <c r="J125" s="280"/>
    </row>
    <row r="126" spans="1:16" ht="12.75">
      <c r="A126" s="469"/>
      <c r="B126" s="383"/>
      <c r="C126" s="271" t="s">
        <v>339</v>
      </c>
      <c r="D126" s="320" t="s">
        <v>340</v>
      </c>
      <c r="E126" s="333" t="s">
        <v>341</v>
      </c>
      <c r="F126" s="868">
        <v>56.5</v>
      </c>
      <c r="G126" s="868">
        <v>52.14</v>
      </c>
      <c r="H126" s="868">
        <v>56.13</v>
      </c>
      <c r="I126" s="868">
        <v>53.12</v>
      </c>
      <c r="J126" s="868">
        <v>57.04</v>
      </c>
      <c r="L126" s="284">
        <f>+ROUND(F126,2)</f>
        <v>56.5</v>
      </c>
      <c r="M126" s="284">
        <f>+ROUND(G126,2)</f>
        <v>52.14</v>
      </c>
      <c r="N126" s="284">
        <f>+ROUND(H126,2)</f>
        <v>56.13</v>
      </c>
      <c r="O126" s="284">
        <f>+ROUND(I126,2)</f>
        <v>53.12</v>
      </c>
      <c r="P126" s="284">
        <f>+ROUND(J126,2)</f>
        <v>57.04</v>
      </c>
    </row>
    <row r="127" spans="1:16" ht="12.75">
      <c r="A127" s="469"/>
      <c r="B127" s="362" t="s">
        <v>357</v>
      </c>
      <c r="C127" s="286"/>
      <c r="D127" s="377" t="s">
        <v>342</v>
      </c>
      <c r="E127" s="384" t="s">
        <v>341</v>
      </c>
      <c r="F127" s="876">
        <v>51.66</v>
      </c>
      <c r="G127" s="876">
        <v>48.45</v>
      </c>
      <c r="H127" s="876">
        <v>51.43</v>
      </c>
      <c r="I127" s="876">
        <v>50.01</v>
      </c>
      <c r="J127" s="876">
        <v>52.85</v>
      </c>
      <c r="L127" s="284">
        <f>+ROUND(F127,2)</f>
        <v>51.66</v>
      </c>
      <c r="M127" s="284">
        <f>+ROUND(G127,2)</f>
        <v>48.45</v>
      </c>
      <c r="N127" s="284">
        <f>+ROUND(H127,2)</f>
        <v>51.43</v>
      </c>
      <c r="O127" s="284">
        <f>+ROUND(I127,2)</f>
        <v>50.01</v>
      </c>
      <c r="P127" s="284">
        <f>+ROUND(J127,2)</f>
        <v>52.85</v>
      </c>
    </row>
    <row r="128" spans="1:16" ht="12.75">
      <c r="A128" s="469"/>
      <c r="B128" s="362" t="s">
        <v>358</v>
      </c>
      <c r="C128" s="286"/>
      <c r="D128" s="377" t="s">
        <v>343</v>
      </c>
      <c r="E128" s="384" t="s">
        <v>341</v>
      </c>
      <c r="F128" s="876">
        <v>51.66</v>
      </c>
      <c r="G128" s="876">
        <v>48.45</v>
      </c>
      <c r="H128" s="876">
        <v>51.43</v>
      </c>
      <c r="I128" s="876">
        <v>50.01</v>
      </c>
      <c r="J128" s="876">
        <v>52.85</v>
      </c>
      <c r="L128" s="284">
        <f>+ROUND(F128,2)</f>
        <v>51.66</v>
      </c>
      <c r="M128" s="284">
        <f>+ROUND(G128,2)</f>
        <v>48.45</v>
      </c>
      <c r="N128" s="284">
        <f>+ROUND(H128,2)</f>
        <v>51.43</v>
      </c>
      <c r="O128" s="284">
        <f>+ROUND(I128,2)</f>
        <v>50.01</v>
      </c>
      <c r="P128" s="284">
        <f>+ROUND(J128,2)</f>
        <v>52.85</v>
      </c>
    </row>
    <row r="129" spans="1:16" ht="12.75">
      <c r="A129" s="469"/>
      <c r="B129" s="285" t="s">
        <v>448</v>
      </c>
      <c r="C129" s="303" t="s">
        <v>344</v>
      </c>
      <c r="D129" s="377" t="s">
        <v>345</v>
      </c>
      <c r="E129" s="384" t="s">
        <v>341</v>
      </c>
      <c r="F129" s="876">
        <v>89.41</v>
      </c>
      <c r="G129" s="876">
        <v>89.41</v>
      </c>
      <c r="H129" s="876">
        <v>96.23</v>
      </c>
      <c r="I129" s="876">
        <v>91.06</v>
      </c>
      <c r="J129" s="876">
        <v>97.86</v>
      </c>
      <c r="L129" s="284">
        <f>+ROUND(F129,2)</f>
        <v>89.41</v>
      </c>
      <c r="M129" s="284">
        <f>+ROUND(G129,2)</f>
        <v>89.41</v>
      </c>
      <c r="N129" s="284">
        <f>+ROUND(H129,2)</f>
        <v>96.23</v>
      </c>
      <c r="O129" s="284">
        <f>+ROUND(I129,2)</f>
        <v>91.06</v>
      </c>
      <c r="P129" s="284">
        <f>+ROUND(J129,2)</f>
        <v>97.86</v>
      </c>
    </row>
    <row r="130" spans="1:16" ht="12.75">
      <c r="A130" s="469"/>
      <c r="B130" s="385"/>
      <c r="C130" s="286"/>
      <c r="D130" s="377" t="s">
        <v>346</v>
      </c>
      <c r="E130" s="384" t="s">
        <v>341</v>
      </c>
      <c r="F130" s="876">
        <v>65.28</v>
      </c>
      <c r="G130" s="876">
        <v>65.28</v>
      </c>
      <c r="H130" s="876">
        <v>70.59</v>
      </c>
      <c r="I130" s="876">
        <v>65.86</v>
      </c>
      <c r="J130" s="876">
        <v>71.13</v>
      </c>
      <c r="L130" s="284">
        <f>+ROUND(F130,2)</f>
        <v>65.28</v>
      </c>
      <c r="M130" s="284">
        <f>+ROUND(G130,2)</f>
        <v>65.28</v>
      </c>
      <c r="N130" s="284">
        <f>+ROUND(H130,2)</f>
        <v>70.59</v>
      </c>
      <c r="O130" s="284">
        <f>+ROUND(I130,2)</f>
        <v>65.86</v>
      </c>
      <c r="P130" s="284">
        <f>+ROUND(J130,2)</f>
        <v>71.13</v>
      </c>
    </row>
    <row r="131" spans="1:16" ht="12.75">
      <c r="A131" s="469"/>
      <c r="B131" s="338"/>
      <c r="C131" s="291"/>
      <c r="D131" s="386" t="s">
        <v>347</v>
      </c>
      <c r="E131" s="384" t="s">
        <v>341</v>
      </c>
      <c r="F131" s="876">
        <v>65.28</v>
      </c>
      <c r="G131" s="876">
        <v>65.28</v>
      </c>
      <c r="H131" s="876">
        <v>70.59</v>
      </c>
      <c r="I131" s="876">
        <v>65.86</v>
      </c>
      <c r="J131" s="876">
        <v>71.13</v>
      </c>
      <c r="L131" s="284">
        <f>+ROUND(F131,2)</f>
        <v>65.28</v>
      </c>
      <c r="M131" s="284">
        <f>+ROUND(G131,2)</f>
        <v>65.28</v>
      </c>
      <c r="N131" s="284">
        <f>+ROUND(H131,2)</f>
        <v>70.59</v>
      </c>
      <c r="O131" s="284">
        <f>+ROUND(I131,2)</f>
        <v>65.86</v>
      </c>
      <c r="P131" s="284">
        <f>+ROUND(J131,2)</f>
        <v>71.13</v>
      </c>
    </row>
    <row r="133" spans="1:10" ht="12.75">
      <c r="A133" s="469"/>
      <c r="B133" s="379" t="s">
        <v>50</v>
      </c>
      <c r="C133" s="387"/>
      <c r="D133" s="387"/>
      <c r="E133" s="388"/>
      <c r="F133" s="389" t="s">
        <v>318</v>
      </c>
      <c r="G133" s="390"/>
      <c r="H133" s="390"/>
      <c r="I133" s="391"/>
      <c r="J133" s="391"/>
    </row>
    <row r="134" spans="1:10" ht="12.75">
      <c r="A134" s="469"/>
      <c r="B134" s="392"/>
      <c r="C134" s="393"/>
      <c r="D134" s="392"/>
      <c r="E134" s="393"/>
      <c r="F134" s="392"/>
      <c r="G134" s="394" t="s">
        <v>331</v>
      </c>
      <c r="H134" s="392"/>
      <c r="I134" s="394" t="s">
        <v>331</v>
      </c>
      <c r="J134" s="395" t="s">
        <v>332</v>
      </c>
    </row>
    <row r="135" spans="1:10" ht="32.25" customHeight="1">
      <c r="A135" s="469"/>
      <c r="B135" s="376" t="s">
        <v>130</v>
      </c>
      <c r="C135" s="329" t="s">
        <v>3</v>
      </c>
      <c r="D135" s="376" t="s">
        <v>319</v>
      </c>
      <c r="E135" s="330" t="s">
        <v>333</v>
      </c>
      <c r="F135" s="348" t="s">
        <v>334</v>
      </c>
      <c r="G135" s="330" t="s">
        <v>335</v>
      </c>
      <c r="H135" s="348" t="s">
        <v>336</v>
      </c>
      <c r="I135" s="330" t="s">
        <v>337</v>
      </c>
      <c r="J135" s="348" t="s">
        <v>338</v>
      </c>
    </row>
    <row r="136" spans="1:10" ht="12.75">
      <c r="A136" s="469"/>
      <c r="B136" s="316"/>
      <c r="C136" s="317"/>
      <c r="D136" s="316"/>
      <c r="E136" s="318"/>
      <c r="F136" s="280"/>
      <c r="G136" s="318"/>
      <c r="H136" s="280"/>
      <c r="I136" s="318" t="s">
        <v>338</v>
      </c>
      <c r="J136" s="280"/>
    </row>
    <row r="137" spans="1:16" ht="12.75">
      <c r="A137" s="469"/>
      <c r="B137" s="383"/>
      <c r="C137" s="352" t="s">
        <v>320</v>
      </c>
      <c r="D137" s="352" t="s">
        <v>351</v>
      </c>
      <c r="E137" s="333" t="s">
        <v>341</v>
      </c>
      <c r="F137" s="868">
        <v>23.52</v>
      </c>
      <c r="G137" s="868">
        <v>22.84</v>
      </c>
      <c r="H137" s="868">
        <v>26.83</v>
      </c>
      <c r="I137" s="868">
        <v>25.14</v>
      </c>
      <c r="J137" s="868">
        <v>27.71</v>
      </c>
      <c r="L137" s="284">
        <f>+ROUND(F137,2)</f>
        <v>23.52</v>
      </c>
      <c r="M137" s="284">
        <f>+ROUND(G137,2)</f>
        <v>22.84</v>
      </c>
      <c r="N137" s="284">
        <f>+ROUND(H137,2)</f>
        <v>26.83</v>
      </c>
      <c r="O137" s="284">
        <f>+ROUND(I137,2)</f>
        <v>25.14</v>
      </c>
      <c r="P137" s="284">
        <f>+ROUND(J137,2)</f>
        <v>27.71</v>
      </c>
    </row>
    <row r="138" spans="1:16" ht="12.75">
      <c r="A138" s="469"/>
      <c r="B138" s="362" t="s">
        <v>357</v>
      </c>
      <c r="C138" s="396" t="s">
        <v>328</v>
      </c>
      <c r="D138" s="397" t="s">
        <v>351</v>
      </c>
      <c r="E138" s="398" t="s">
        <v>341</v>
      </c>
      <c r="F138" s="874">
        <v>23.59</v>
      </c>
      <c r="G138" s="874">
        <v>24.6</v>
      </c>
      <c r="H138" s="874">
        <v>27.71</v>
      </c>
      <c r="I138" s="874">
        <v>26.96</v>
      </c>
      <c r="J138" s="874">
        <v>28.11</v>
      </c>
      <c r="L138" s="284">
        <f>+ROUND(F138,2)</f>
        <v>23.59</v>
      </c>
      <c r="M138" s="284">
        <f>+ROUND(G138,2)</f>
        <v>24.6</v>
      </c>
      <c r="N138" s="284">
        <f>+ROUND(H138,2)</f>
        <v>27.71</v>
      </c>
      <c r="O138" s="284">
        <f>+ROUND(I138,2)</f>
        <v>26.96</v>
      </c>
      <c r="P138" s="284">
        <f>+ROUND(J138,2)</f>
        <v>28.11</v>
      </c>
    </row>
    <row r="139" spans="1:16" ht="12.75">
      <c r="A139" s="469"/>
      <c r="B139" s="362" t="s">
        <v>358</v>
      </c>
      <c r="C139" s="396" t="s">
        <v>339</v>
      </c>
      <c r="D139" s="397" t="s">
        <v>352</v>
      </c>
      <c r="E139" s="398" t="s">
        <v>341</v>
      </c>
      <c r="F139" s="874">
        <v>164.05</v>
      </c>
      <c r="G139" s="874">
        <v>164.05</v>
      </c>
      <c r="H139" s="874">
        <v>170.03</v>
      </c>
      <c r="I139" s="874">
        <v>179.22</v>
      </c>
      <c r="J139" s="874">
        <v>185.14</v>
      </c>
      <c r="L139" s="284">
        <f>+ROUND(F139,2)</f>
        <v>164.05</v>
      </c>
      <c r="M139" s="284">
        <f>+ROUND(G139,2)</f>
        <v>164.05</v>
      </c>
      <c r="N139" s="284">
        <f>+ROUND(H139,2)</f>
        <v>170.03</v>
      </c>
      <c r="O139" s="284">
        <f>+ROUND(I139,2)</f>
        <v>179.22</v>
      </c>
      <c r="P139" s="284">
        <f>+ROUND(J139,2)</f>
        <v>185.14</v>
      </c>
    </row>
    <row r="140" spans="1:16" ht="12.75">
      <c r="A140" s="469"/>
      <c r="B140" s="285" t="s">
        <v>448</v>
      </c>
      <c r="C140" s="352"/>
      <c r="D140" s="397" t="s">
        <v>353</v>
      </c>
      <c r="E140" s="398" t="s">
        <v>341</v>
      </c>
      <c r="F140" s="874">
        <v>164.05</v>
      </c>
      <c r="G140" s="874">
        <v>164.05</v>
      </c>
      <c r="H140" s="874">
        <v>170.03</v>
      </c>
      <c r="I140" s="874">
        <v>179.22</v>
      </c>
      <c r="J140" s="874">
        <v>185.14</v>
      </c>
      <c r="L140" s="284">
        <f>+ROUND(F140,2)</f>
        <v>164.05</v>
      </c>
      <c r="M140" s="284">
        <f>+ROUND(G140,2)</f>
        <v>164.05</v>
      </c>
      <c r="N140" s="284">
        <f>+ROUND(H140,2)</f>
        <v>170.03</v>
      </c>
      <c r="O140" s="284">
        <f>+ROUND(I140,2)</f>
        <v>179.22</v>
      </c>
      <c r="P140" s="284">
        <f>+ROUND(J140,2)</f>
        <v>185.14</v>
      </c>
    </row>
    <row r="141" spans="1:16" ht="12.75">
      <c r="A141" s="469"/>
      <c r="B141" s="383"/>
      <c r="C141" s="396" t="s">
        <v>344</v>
      </c>
      <c r="D141" s="397" t="s">
        <v>354</v>
      </c>
      <c r="E141" s="398" t="s">
        <v>341</v>
      </c>
      <c r="F141" s="874">
        <v>264.34</v>
      </c>
      <c r="G141" s="874">
        <v>240.86</v>
      </c>
      <c r="H141" s="874">
        <v>240.86</v>
      </c>
      <c r="I141" s="874">
        <v>263.6</v>
      </c>
      <c r="J141" s="874">
        <v>263.6</v>
      </c>
      <c r="L141" s="284">
        <f>+ROUND(F141,2)</f>
        <v>264.34</v>
      </c>
      <c r="M141" s="284">
        <f>+ROUND(G141,2)</f>
        <v>240.86</v>
      </c>
      <c r="N141" s="284">
        <f>+ROUND(H141,2)</f>
        <v>240.86</v>
      </c>
      <c r="O141" s="284">
        <f>+ROUND(I141,2)</f>
        <v>263.6</v>
      </c>
      <c r="P141" s="284">
        <f>+ROUND(J141,2)</f>
        <v>263.6</v>
      </c>
    </row>
    <row r="142" spans="1:16" ht="12.75">
      <c r="A142" s="469"/>
      <c r="B142" s="399"/>
      <c r="C142" s="356"/>
      <c r="D142" s="397" t="s">
        <v>355</v>
      </c>
      <c r="E142" s="398" t="s">
        <v>341</v>
      </c>
      <c r="F142" s="874">
        <v>232.91</v>
      </c>
      <c r="G142" s="874">
        <v>232.91</v>
      </c>
      <c r="H142" s="874">
        <v>239.91</v>
      </c>
      <c r="I142" s="874">
        <v>255.69</v>
      </c>
      <c r="J142" s="874">
        <v>262.51</v>
      </c>
      <c r="L142" s="284">
        <f>+ROUND(F142,2)</f>
        <v>232.91</v>
      </c>
      <c r="M142" s="284">
        <f>+ROUND(G142,2)</f>
        <v>232.91</v>
      </c>
      <c r="N142" s="284">
        <f>+ROUND(H142,2)</f>
        <v>239.91</v>
      </c>
      <c r="O142" s="284">
        <f>+ROUND(I142,2)</f>
        <v>255.69</v>
      </c>
      <c r="P142" s="284">
        <f>+ROUND(J142,2)</f>
        <v>262.51</v>
      </c>
    </row>
    <row r="143" ht="12.75">
      <c r="A143" s="469"/>
    </row>
    <row r="144" spans="2:12" ht="12.75">
      <c r="B144" s="400"/>
      <c r="C144" s="400"/>
      <c r="D144" s="400"/>
      <c r="E144" s="400"/>
      <c r="F144" s="400"/>
      <c r="G144" s="400"/>
      <c r="H144" s="400"/>
      <c r="I144" s="400"/>
      <c r="J144" s="400"/>
      <c r="K144" s="400"/>
      <c r="L144" s="400"/>
    </row>
    <row r="146" spans="2:8" ht="18.75">
      <c r="B146" s="937" t="s">
        <v>365</v>
      </c>
      <c r="C146" s="937"/>
      <c r="D146" s="937"/>
      <c r="E146" s="937"/>
      <c r="F146" s="937"/>
      <c r="G146" s="937"/>
      <c r="H146" s="937"/>
    </row>
    <row r="148" spans="1:10" ht="12.75">
      <c r="A148" s="469"/>
      <c r="B148" s="401" t="s">
        <v>50</v>
      </c>
      <c r="C148" s="402"/>
      <c r="D148" s="402"/>
      <c r="E148" s="403"/>
      <c r="F148" s="404" t="s">
        <v>318</v>
      </c>
      <c r="G148" s="405"/>
      <c r="H148" s="405"/>
      <c r="I148" s="406"/>
      <c r="J148" s="406"/>
    </row>
    <row r="149" spans="1:10" ht="12.75">
      <c r="A149" s="469"/>
      <c r="B149" s="392"/>
      <c r="C149" s="407"/>
      <c r="D149" s="407"/>
      <c r="E149" s="407"/>
      <c r="F149" s="407"/>
      <c r="G149" s="407" t="s">
        <v>331</v>
      </c>
      <c r="H149" s="407"/>
      <c r="I149" s="407" t="s">
        <v>331</v>
      </c>
      <c r="J149" s="407" t="s">
        <v>336</v>
      </c>
    </row>
    <row r="150" spans="1:10" ht="22.5" customHeight="1">
      <c r="A150" s="469"/>
      <c r="B150" s="376" t="s">
        <v>130</v>
      </c>
      <c r="C150" s="376" t="s">
        <v>3</v>
      </c>
      <c r="D150" s="376" t="s">
        <v>319</v>
      </c>
      <c r="E150" s="376" t="s">
        <v>333</v>
      </c>
      <c r="F150" s="376" t="s">
        <v>334</v>
      </c>
      <c r="G150" s="376" t="s">
        <v>335</v>
      </c>
      <c r="H150" s="376" t="s">
        <v>336</v>
      </c>
      <c r="I150" s="376" t="s">
        <v>337</v>
      </c>
      <c r="J150" s="376" t="s">
        <v>364</v>
      </c>
    </row>
    <row r="151" spans="1:10" ht="12.75">
      <c r="A151" s="469"/>
      <c r="B151" s="316"/>
      <c r="C151" s="316"/>
      <c r="D151" s="316"/>
      <c r="E151" s="316"/>
      <c r="F151" s="316"/>
      <c r="G151" s="316"/>
      <c r="H151" s="316"/>
      <c r="I151" s="316" t="s">
        <v>338</v>
      </c>
      <c r="J151" s="316"/>
    </row>
    <row r="152" spans="1:16" ht="12.75">
      <c r="A152" s="469"/>
      <c r="B152" s="351"/>
      <c r="C152" s="408" t="s">
        <v>320</v>
      </c>
      <c r="D152" s="409" t="s">
        <v>321</v>
      </c>
      <c r="E152" s="398" t="s">
        <v>341</v>
      </c>
      <c r="F152" s="874">
        <v>21.76</v>
      </c>
      <c r="G152" s="874">
        <v>21.05</v>
      </c>
      <c r="H152" s="874">
        <v>22.74</v>
      </c>
      <c r="I152" s="874">
        <v>21.22</v>
      </c>
      <c r="J152" s="874">
        <v>22.91</v>
      </c>
      <c r="L152" s="284">
        <f>+ROUND(F152,2)</f>
        <v>21.76</v>
      </c>
      <c r="M152" s="284">
        <f>+ROUND(G152,2)</f>
        <v>21.05</v>
      </c>
      <c r="N152" s="284">
        <f>+ROUND(H152,2)</f>
        <v>22.74</v>
      </c>
      <c r="O152" s="284">
        <f>+ROUND(I152,2)</f>
        <v>21.22</v>
      </c>
      <c r="P152" s="284">
        <f>+ROUND(J152,2)</f>
        <v>22.91</v>
      </c>
    </row>
    <row r="153" spans="1:16" ht="12.75">
      <c r="A153" s="469"/>
      <c r="B153" s="383"/>
      <c r="C153" s="410"/>
      <c r="D153" s="409" t="s">
        <v>322</v>
      </c>
      <c r="E153" s="398" t="s">
        <v>341</v>
      </c>
      <c r="F153" s="874">
        <v>24.53</v>
      </c>
      <c r="G153" s="874">
        <v>23.55</v>
      </c>
      <c r="H153" s="874">
        <v>25.48</v>
      </c>
      <c r="I153" s="874">
        <v>23.79</v>
      </c>
      <c r="J153" s="874">
        <v>25.68</v>
      </c>
      <c r="L153" s="284">
        <f aca="true" t="shared" si="25" ref="L153:L165">+ROUND(F153,2)</f>
        <v>24.53</v>
      </c>
      <c r="M153" s="284">
        <f aca="true" t="shared" si="26" ref="M153:M165">+ROUND(G153,2)</f>
        <v>23.55</v>
      </c>
      <c r="N153" s="284">
        <f aca="true" t="shared" si="27" ref="N153:N165">+ROUND(H153,2)</f>
        <v>25.48</v>
      </c>
      <c r="O153" s="284">
        <f aca="true" t="shared" si="28" ref="O153:O165">+ROUND(I153,2)</f>
        <v>23.79</v>
      </c>
      <c r="P153" s="284">
        <f aca="true" t="shared" si="29" ref="P153:P165">+ROUND(J153,2)</f>
        <v>25.68</v>
      </c>
    </row>
    <row r="154" spans="1:16" ht="12.75">
      <c r="A154" s="469"/>
      <c r="B154" s="383"/>
      <c r="C154" s="410"/>
      <c r="D154" s="409" t="s">
        <v>324</v>
      </c>
      <c r="E154" s="398" t="s">
        <v>341</v>
      </c>
      <c r="F154" s="874">
        <v>24.67</v>
      </c>
      <c r="G154" s="874">
        <v>23.69</v>
      </c>
      <c r="H154" s="874">
        <v>25.58</v>
      </c>
      <c r="I154" s="874">
        <v>23.92</v>
      </c>
      <c r="J154" s="874">
        <v>25.78</v>
      </c>
      <c r="L154" s="284">
        <f t="shared" si="25"/>
        <v>24.67</v>
      </c>
      <c r="M154" s="284">
        <f t="shared" si="26"/>
        <v>23.69</v>
      </c>
      <c r="N154" s="284">
        <f t="shared" si="27"/>
        <v>25.58</v>
      </c>
      <c r="O154" s="284">
        <f t="shared" si="28"/>
        <v>23.92</v>
      </c>
      <c r="P154" s="284">
        <f t="shared" si="29"/>
        <v>25.78</v>
      </c>
    </row>
    <row r="155" spans="1:16" ht="12.75">
      <c r="A155" s="469"/>
      <c r="B155" s="383"/>
      <c r="C155" s="411"/>
      <c r="D155" s="409" t="s">
        <v>326</v>
      </c>
      <c r="E155" s="398" t="s">
        <v>341</v>
      </c>
      <c r="F155" s="874">
        <v>35.31</v>
      </c>
      <c r="G155" s="874">
        <v>33.72</v>
      </c>
      <c r="H155" s="874">
        <v>36.12</v>
      </c>
      <c r="I155" s="874">
        <v>34.8</v>
      </c>
      <c r="J155" s="874">
        <v>37.14</v>
      </c>
      <c r="L155" s="284">
        <f t="shared" si="25"/>
        <v>35.31</v>
      </c>
      <c r="M155" s="284">
        <f t="shared" si="26"/>
        <v>33.72</v>
      </c>
      <c r="N155" s="284">
        <f t="shared" si="27"/>
        <v>36.12</v>
      </c>
      <c r="O155" s="284">
        <f t="shared" si="28"/>
        <v>34.8</v>
      </c>
      <c r="P155" s="284">
        <f t="shared" si="29"/>
        <v>37.14</v>
      </c>
    </row>
    <row r="156" spans="1:16" ht="12.75">
      <c r="A156" s="469"/>
      <c r="B156" s="383" t="s">
        <v>357</v>
      </c>
      <c r="C156" s="408" t="s">
        <v>328</v>
      </c>
      <c r="D156" s="409" t="s">
        <v>321</v>
      </c>
      <c r="E156" s="398" t="s">
        <v>341</v>
      </c>
      <c r="F156" s="874">
        <v>35.07</v>
      </c>
      <c r="G156" s="874">
        <v>34.2</v>
      </c>
      <c r="H156" s="874">
        <v>36.05</v>
      </c>
      <c r="I156" s="874">
        <v>36.49</v>
      </c>
      <c r="J156" s="874">
        <v>38.32</v>
      </c>
      <c r="L156" s="284">
        <f t="shared" si="25"/>
        <v>35.07</v>
      </c>
      <c r="M156" s="284">
        <f t="shared" si="26"/>
        <v>34.2</v>
      </c>
      <c r="N156" s="284">
        <f t="shared" si="27"/>
        <v>36.05</v>
      </c>
      <c r="O156" s="284">
        <f t="shared" si="28"/>
        <v>36.49</v>
      </c>
      <c r="P156" s="284">
        <f t="shared" si="29"/>
        <v>38.32</v>
      </c>
    </row>
    <row r="157" spans="1:16" ht="12.75">
      <c r="A157" s="469"/>
      <c r="B157" s="383" t="s">
        <v>366</v>
      </c>
      <c r="C157" s="410"/>
      <c r="D157" s="409" t="s">
        <v>322</v>
      </c>
      <c r="E157" s="398" t="s">
        <v>341</v>
      </c>
      <c r="F157" s="874">
        <v>26.63</v>
      </c>
      <c r="G157" s="874">
        <v>26.63</v>
      </c>
      <c r="H157" s="874">
        <v>28.82</v>
      </c>
      <c r="I157" s="874">
        <v>26.83</v>
      </c>
      <c r="J157" s="874">
        <v>28.99</v>
      </c>
      <c r="L157" s="284">
        <f t="shared" si="25"/>
        <v>26.63</v>
      </c>
      <c r="M157" s="284">
        <f t="shared" si="26"/>
        <v>26.63</v>
      </c>
      <c r="N157" s="284">
        <f t="shared" si="27"/>
        <v>28.82</v>
      </c>
      <c r="O157" s="284">
        <f t="shared" si="28"/>
        <v>26.83</v>
      </c>
      <c r="P157" s="284">
        <f t="shared" si="29"/>
        <v>28.99</v>
      </c>
    </row>
    <row r="158" spans="1:16" ht="12.75">
      <c r="A158" s="469"/>
      <c r="B158" s="383" t="s">
        <v>367</v>
      </c>
      <c r="C158" s="412"/>
      <c r="D158" s="409" t="s">
        <v>324</v>
      </c>
      <c r="E158" s="398" t="s">
        <v>341</v>
      </c>
      <c r="F158" s="874">
        <v>36.86</v>
      </c>
      <c r="G158" s="874">
        <v>37.37</v>
      </c>
      <c r="H158" s="874">
        <v>39.06</v>
      </c>
      <c r="I158" s="874">
        <v>39.53</v>
      </c>
      <c r="J158" s="874">
        <v>41.09</v>
      </c>
      <c r="L158" s="284">
        <f t="shared" si="25"/>
        <v>36.86</v>
      </c>
      <c r="M158" s="284">
        <f t="shared" si="26"/>
        <v>37.37</v>
      </c>
      <c r="N158" s="284">
        <f t="shared" si="27"/>
        <v>39.06</v>
      </c>
      <c r="O158" s="284">
        <f t="shared" si="28"/>
        <v>39.53</v>
      </c>
      <c r="P158" s="284">
        <f t="shared" si="29"/>
        <v>41.09</v>
      </c>
    </row>
    <row r="159" spans="1:16" ht="12.75">
      <c r="A159" s="469"/>
      <c r="B159" s="383" t="s">
        <v>368</v>
      </c>
      <c r="C159" s="413"/>
      <c r="D159" s="409" t="s">
        <v>326</v>
      </c>
      <c r="E159" s="398" t="s">
        <v>341</v>
      </c>
      <c r="F159" s="874">
        <v>52.44</v>
      </c>
      <c r="G159" s="874">
        <v>50.62</v>
      </c>
      <c r="H159" s="874">
        <v>53.12</v>
      </c>
      <c r="I159" s="874">
        <v>54.4</v>
      </c>
      <c r="J159" s="874">
        <v>56.9</v>
      </c>
      <c r="L159" s="284">
        <f t="shared" si="25"/>
        <v>52.44</v>
      </c>
      <c r="M159" s="284">
        <f t="shared" si="26"/>
        <v>50.62</v>
      </c>
      <c r="N159" s="284">
        <f t="shared" si="27"/>
        <v>53.12</v>
      </c>
      <c r="O159" s="284">
        <f t="shared" si="28"/>
        <v>54.4</v>
      </c>
      <c r="P159" s="284">
        <f t="shared" si="29"/>
        <v>56.9</v>
      </c>
    </row>
    <row r="160" spans="1:16" ht="12.75">
      <c r="A160" s="469"/>
      <c r="B160" s="383"/>
      <c r="C160" s="414" t="s">
        <v>339</v>
      </c>
      <c r="D160" s="409" t="s">
        <v>340</v>
      </c>
      <c r="E160" s="398" t="s">
        <v>341</v>
      </c>
      <c r="F160" s="874">
        <v>56.5</v>
      </c>
      <c r="G160" s="874">
        <v>52.14</v>
      </c>
      <c r="H160" s="874">
        <v>56.13</v>
      </c>
      <c r="I160" s="874">
        <v>53.12</v>
      </c>
      <c r="J160" s="874">
        <v>57.04</v>
      </c>
      <c r="L160" s="284">
        <f t="shared" si="25"/>
        <v>56.5</v>
      </c>
      <c r="M160" s="284">
        <f t="shared" si="26"/>
        <v>52.14</v>
      </c>
      <c r="N160" s="284">
        <f t="shared" si="27"/>
        <v>56.13</v>
      </c>
      <c r="O160" s="284">
        <f t="shared" si="28"/>
        <v>53.12</v>
      </c>
      <c r="P160" s="284">
        <f t="shared" si="29"/>
        <v>57.04</v>
      </c>
    </row>
    <row r="161" spans="1:16" ht="12.75">
      <c r="A161" s="469"/>
      <c r="B161" s="383"/>
      <c r="C161" s="412"/>
      <c r="D161" s="409" t="s">
        <v>342</v>
      </c>
      <c r="E161" s="398" t="s">
        <v>341</v>
      </c>
      <c r="F161" s="874">
        <v>51.66</v>
      </c>
      <c r="G161" s="874">
        <v>48.45</v>
      </c>
      <c r="H161" s="874">
        <v>51.43</v>
      </c>
      <c r="I161" s="874">
        <v>50.01</v>
      </c>
      <c r="J161" s="874">
        <v>52.85</v>
      </c>
      <c r="L161" s="284">
        <f t="shared" si="25"/>
        <v>51.66</v>
      </c>
      <c r="M161" s="284">
        <f t="shared" si="26"/>
        <v>48.45</v>
      </c>
      <c r="N161" s="284">
        <f t="shared" si="27"/>
        <v>51.43</v>
      </c>
      <c r="O161" s="284">
        <f t="shared" si="28"/>
        <v>50.01</v>
      </c>
      <c r="P161" s="284">
        <f t="shared" si="29"/>
        <v>52.85</v>
      </c>
    </row>
    <row r="162" spans="1:16" ht="12.75">
      <c r="A162" s="469"/>
      <c r="B162" s="383"/>
      <c r="C162" s="413"/>
      <c r="D162" s="409" t="s">
        <v>343</v>
      </c>
      <c r="E162" s="398" t="s">
        <v>341</v>
      </c>
      <c r="F162" s="874">
        <v>51.66</v>
      </c>
      <c r="G162" s="874">
        <v>48.45</v>
      </c>
      <c r="H162" s="874">
        <v>51.43</v>
      </c>
      <c r="I162" s="874">
        <v>50.01</v>
      </c>
      <c r="J162" s="874">
        <v>52.85</v>
      </c>
      <c r="L162" s="284">
        <f t="shared" si="25"/>
        <v>51.66</v>
      </c>
      <c r="M162" s="284">
        <f t="shared" si="26"/>
        <v>48.45</v>
      </c>
      <c r="N162" s="284">
        <f t="shared" si="27"/>
        <v>51.43</v>
      </c>
      <c r="O162" s="284">
        <f t="shared" si="28"/>
        <v>50.01</v>
      </c>
      <c r="P162" s="284">
        <f t="shared" si="29"/>
        <v>52.85</v>
      </c>
    </row>
    <row r="163" spans="1:16" ht="12.75">
      <c r="A163" s="469"/>
      <c r="B163" s="383"/>
      <c r="C163" s="414" t="s">
        <v>344</v>
      </c>
      <c r="D163" s="409" t="s">
        <v>345</v>
      </c>
      <c r="E163" s="398" t="s">
        <v>341</v>
      </c>
      <c r="F163" s="874">
        <v>99.61</v>
      </c>
      <c r="G163" s="874">
        <v>99.61</v>
      </c>
      <c r="H163" s="874">
        <v>106.44</v>
      </c>
      <c r="I163" s="874">
        <v>103.16</v>
      </c>
      <c r="J163" s="874">
        <v>109.92</v>
      </c>
      <c r="L163" s="284">
        <f t="shared" si="25"/>
        <v>99.61</v>
      </c>
      <c r="M163" s="284">
        <f t="shared" si="26"/>
        <v>99.61</v>
      </c>
      <c r="N163" s="284">
        <f t="shared" si="27"/>
        <v>106.44</v>
      </c>
      <c r="O163" s="284">
        <f t="shared" si="28"/>
        <v>103.16</v>
      </c>
      <c r="P163" s="284">
        <f t="shared" si="29"/>
        <v>109.92</v>
      </c>
    </row>
    <row r="164" spans="1:16" ht="12.75">
      <c r="A164" s="469"/>
      <c r="B164" s="383"/>
      <c r="C164" s="412"/>
      <c r="D164" s="409" t="s">
        <v>346</v>
      </c>
      <c r="E164" s="398" t="s">
        <v>341</v>
      </c>
      <c r="F164" s="874">
        <v>75.49</v>
      </c>
      <c r="G164" s="874">
        <v>75.49</v>
      </c>
      <c r="H164" s="874">
        <v>80.83</v>
      </c>
      <c r="I164" s="874">
        <v>77.89</v>
      </c>
      <c r="J164" s="874">
        <v>83.16</v>
      </c>
      <c r="L164" s="284">
        <f t="shared" si="25"/>
        <v>75.49</v>
      </c>
      <c r="M164" s="284">
        <f t="shared" si="26"/>
        <v>75.49</v>
      </c>
      <c r="N164" s="284">
        <f t="shared" si="27"/>
        <v>80.83</v>
      </c>
      <c r="O164" s="284">
        <f t="shared" si="28"/>
        <v>77.89</v>
      </c>
      <c r="P164" s="284">
        <f t="shared" si="29"/>
        <v>83.16</v>
      </c>
    </row>
    <row r="165" spans="1:16" ht="12.75">
      <c r="A165" s="469"/>
      <c r="B165" s="399"/>
      <c r="C165" s="413"/>
      <c r="D165" s="409" t="s">
        <v>347</v>
      </c>
      <c r="E165" s="398" t="s">
        <v>341</v>
      </c>
      <c r="F165" s="874">
        <v>75.49</v>
      </c>
      <c r="G165" s="874">
        <v>75.49</v>
      </c>
      <c r="H165" s="874">
        <v>80.83</v>
      </c>
      <c r="I165" s="874">
        <v>77.89</v>
      </c>
      <c r="J165" s="874">
        <v>83.16</v>
      </c>
      <c r="L165" s="284">
        <f t="shared" si="25"/>
        <v>75.49</v>
      </c>
      <c r="M165" s="284">
        <f t="shared" si="26"/>
        <v>75.49</v>
      </c>
      <c r="N165" s="284">
        <f t="shared" si="27"/>
        <v>80.83</v>
      </c>
      <c r="O165" s="284">
        <f t="shared" si="28"/>
        <v>77.89</v>
      </c>
      <c r="P165" s="284">
        <f t="shared" si="29"/>
        <v>83.16</v>
      </c>
    </row>
    <row r="167" spans="2:13" ht="12.75">
      <c r="B167" s="400"/>
      <c r="C167" s="400"/>
      <c r="D167" s="400"/>
      <c r="E167" s="400"/>
      <c r="F167" s="400"/>
      <c r="G167" s="400"/>
      <c r="H167" s="400"/>
      <c r="I167" s="400"/>
      <c r="J167" s="400"/>
      <c r="K167" s="400"/>
      <c r="L167" s="400"/>
      <c r="M167" s="400"/>
    </row>
    <row r="169" spans="2:8" ht="18.75">
      <c r="B169" s="937" t="s">
        <v>369</v>
      </c>
      <c r="C169" s="937"/>
      <c r="D169" s="937"/>
      <c r="E169" s="937"/>
      <c r="F169" s="937"/>
      <c r="G169" s="937"/>
      <c r="H169" s="937"/>
    </row>
    <row r="171" spans="1:10" ht="12.75">
      <c r="A171" s="469"/>
      <c r="B171" s="401" t="s">
        <v>50</v>
      </c>
      <c r="C171" s="387"/>
      <c r="D171" s="402"/>
      <c r="E171" s="403"/>
      <c r="F171" s="404" t="s">
        <v>318</v>
      </c>
      <c r="G171" s="405"/>
      <c r="H171" s="405"/>
      <c r="I171" s="406"/>
      <c r="J171" s="406"/>
    </row>
    <row r="172" spans="1:10" ht="12.75">
      <c r="A172" s="469"/>
      <c r="B172" s="415"/>
      <c r="C172" s="407"/>
      <c r="D172" s="407"/>
      <c r="E172" s="407"/>
      <c r="F172" s="407"/>
      <c r="G172" s="407" t="s">
        <v>349</v>
      </c>
      <c r="H172" s="407"/>
      <c r="I172" s="407" t="s">
        <v>331</v>
      </c>
      <c r="J172" s="407" t="s">
        <v>332</v>
      </c>
    </row>
    <row r="173" spans="1:10" ht="27" customHeight="1">
      <c r="A173" s="469"/>
      <c r="B173" s="346" t="s">
        <v>130</v>
      </c>
      <c r="C173" s="376" t="s">
        <v>3</v>
      </c>
      <c r="D173" s="376" t="s">
        <v>319</v>
      </c>
      <c r="E173" s="376" t="s">
        <v>333</v>
      </c>
      <c r="F173" s="376" t="s">
        <v>334</v>
      </c>
      <c r="G173" s="376" t="s">
        <v>363</v>
      </c>
      <c r="H173" s="376" t="s">
        <v>336</v>
      </c>
      <c r="I173" s="376" t="s">
        <v>337</v>
      </c>
      <c r="J173" s="376" t="s">
        <v>338</v>
      </c>
    </row>
    <row r="174" spans="1:10" ht="12.75">
      <c r="A174" s="469"/>
      <c r="B174" s="349"/>
      <c r="C174" s="316"/>
      <c r="D174" s="316"/>
      <c r="E174" s="316"/>
      <c r="F174" s="316"/>
      <c r="G174" s="316"/>
      <c r="H174" s="316"/>
      <c r="I174" s="316" t="s">
        <v>338</v>
      </c>
      <c r="J174" s="316"/>
    </row>
    <row r="175" spans="1:16" ht="12.75">
      <c r="A175" s="469"/>
      <c r="B175" s="351"/>
      <c r="C175" s="410" t="s">
        <v>320</v>
      </c>
      <c r="D175" s="409" t="s">
        <v>321</v>
      </c>
      <c r="E175" s="398" t="s">
        <v>341</v>
      </c>
      <c r="F175" s="874">
        <v>23.48</v>
      </c>
      <c r="G175" s="874">
        <v>23.48</v>
      </c>
      <c r="H175" s="874">
        <v>25.38</v>
      </c>
      <c r="I175" s="874">
        <v>23.69</v>
      </c>
      <c r="J175" s="874">
        <v>25.55</v>
      </c>
      <c r="L175" s="284">
        <f>+ROUND(F175,2)</f>
        <v>23.48</v>
      </c>
      <c r="M175" s="284">
        <f>+ROUND(G175,2)</f>
        <v>23.48</v>
      </c>
      <c r="N175" s="284">
        <f>+ROUND(H175,2)</f>
        <v>25.38</v>
      </c>
      <c r="O175" s="284">
        <f>+ROUND(I175,2)</f>
        <v>23.69</v>
      </c>
      <c r="P175" s="284">
        <f>+ROUND(J175,2)</f>
        <v>25.55</v>
      </c>
    </row>
    <row r="176" spans="1:16" ht="12.75">
      <c r="A176" s="469"/>
      <c r="B176" s="383"/>
      <c r="C176" s="410"/>
      <c r="D176" s="409" t="s">
        <v>324</v>
      </c>
      <c r="E176" s="398" t="s">
        <v>341</v>
      </c>
      <c r="F176" s="874">
        <v>25.68</v>
      </c>
      <c r="G176" s="874">
        <v>25.68</v>
      </c>
      <c r="H176" s="874">
        <v>27.74</v>
      </c>
      <c r="I176" s="874">
        <v>25.92</v>
      </c>
      <c r="J176" s="874">
        <v>27.98</v>
      </c>
      <c r="L176" s="284">
        <f aca="true" t="shared" si="30" ref="L176:L186">+ROUND(F176,2)</f>
        <v>25.68</v>
      </c>
      <c r="M176" s="284">
        <f aca="true" t="shared" si="31" ref="M176:M186">+ROUND(G176,2)</f>
        <v>25.68</v>
      </c>
      <c r="N176" s="284">
        <f aca="true" t="shared" si="32" ref="N176:N186">+ROUND(H176,2)</f>
        <v>27.74</v>
      </c>
      <c r="O176" s="284">
        <f aca="true" t="shared" si="33" ref="O176:O186">+ROUND(I176,2)</f>
        <v>25.92</v>
      </c>
      <c r="P176" s="284">
        <f aca="true" t="shared" si="34" ref="P176:P186">+ROUND(J176,2)</f>
        <v>27.98</v>
      </c>
    </row>
    <row r="177" spans="1:16" ht="12.75">
      <c r="A177" s="469"/>
      <c r="B177" s="383" t="s">
        <v>370</v>
      </c>
      <c r="C177" s="411"/>
      <c r="D177" s="409" t="s">
        <v>326</v>
      </c>
      <c r="E177" s="398" t="s">
        <v>341</v>
      </c>
      <c r="F177" s="874">
        <v>37.88</v>
      </c>
      <c r="G177" s="874">
        <v>38.15</v>
      </c>
      <c r="H177" s="874">
        <v>40.72</v>
      </c>
      <c r="I177" s="874">
        <v>39.1</v>
      </c>
      <c r="J177" s="874">
        <v>41.6</v>
      </c>
      <c r="L177" s="284">
        <f t="shared" si="30"/>
        <v>37.88</v>
      </c>
      <c r="M177" s="284">
        <f t="shared" si="31"/>
        <v>38.15</v>
      </c>
      <c r="N177" s="284">
        <f t="shared" si="32"/>
        <v>40.72</v>
      </c>
      <c r="O177" s="284">
        <f t="shared" si="33"/>
        <v>39.1</v>
      </c>
      <c r="P177" s="284">
        <f t="shared" si="34"/>
        <v>41.6</v>
      </c>
    </row>
    <row r="178" spans="1:16" ht="12.75">
      <c r="A178" s="469"/>
      <c r="B178" s="383" t="s">
        <v>371</v>
      </c>
      <c r="C178" s="416" t="s">
        <v>328</v>
      </c>
      <c r="D178" s="417" t="s">
        <v>321</v>
      </c>
      <c r="E178" s="398" t="s">
        <v>341</v>
      </c>
      <c r="F178" s="874">
        <v>31.66</v>
      </c>
      <c r="G178" s="874">
        <v>30.78</v>
      </c>
      <c r="H178" s="874">
        <v>32.67</v>
      </c>
      <c r="I178" s="874">
        <v>32.3</v>
      </c>
      <c r="J178" s="874">
        <v>34.2</v>
      </c>
      <c r="L178" s="284">
        <f t="shared" si="30"/>
        <v>31.66</v>
      </c>
      <c r="M178" s="284">
        <f t="shared" si="31"/>
        <v>30.78</v>
      </c>
      <c r="N178" s="284">
        <f t="shared" si="32"/>
        <v>32.67</v>
      </c>
      <c r="O178" s="284">
        <f t="shared" si="33"/>
        <v>32.3</v>
      </c>
      <c r="P178" s="284">
        <f t="shared" si="34"/>
        <v>34.2</v>
      </c>
    </row>
    <row r="179" spans="1:16" ht="12.75">
      <c r="A179" s="469"/>
      <c r="B179" s="383" t="s">
        <v>372</v>
      </c>
      <c r="C179" s="410"/>
      <c r="D179" s="409" t="s">
        <v>324</v>
      </c>
      <c r="E179" s="398" t="s">
        <v>341</v>
      </c>
      <c r="F179" s="874">
        <v>38.52</v>
      </c>
      <c r="G179" s="874">
        <v>38.52</v>
      </c>
      <c r="H179" s="874">
        <v>41.02</v>
      </c>
      <c r="I179" s="874">
        <v>40.14</v>
      </c>
      <c r="J179" s="874">
        <v>42.61</v>
      </c>
      <c r="L179" s="284">
        <f t="shared" si="30"/>
        <v>38.52</v>
      </c>
      <c r="M179" s="284">
        <f t="shared" si="31"/>
        <v>38.52</v>
      </c>
      <c r="N179" s="284">
        <f t="shared" si="32"/>
        <v>41.02</v>
      </c>
      <c r="O179" s="284">
        <f t="shared" si="33"/>
        <v>40.14</v>
      </c>
      <c r="P179" s="284">
        <f t="shared" si="34"/>
        <v>42.61</v>
      </c>
    </row>
    <row r="180" spans="1:16" ht="12.75">
      <c r="A180" s="469"/>
      <c r="B180" s="383" t="s">
        <v>367</v>
      </c>
      <c r="C180" s="413"/>
      <c r="D180" s="409" t="s">
        <v>326</v>
      </c>
      <c r="E180" s="398" t="s">
        <v>341</v>
      </c>
      <c r="F180" s="874">
        <v>60.42</v>
      </c>
      <c r="G180" s="874">
        <v>61.67</v>
      </c>
      <c r="H180" s="874">
        <v>65.08</v>
      </c>
      <c r="I180" s="874">
        <v>65.52</v>
      </c>
      <c r="J180" s="874">
        <v>68.9</v>
      </c>
      <c r="L180" s="284">
        <f t="shared" si="30"/>
        <v>60.42</v>
      </c>
      <c r="M180" s="284">
        <f t="shared" si="31"/>
        <v>61.67</v>
      </c>
      <c r="N180" s="284">
        <f t="shared" si="32"/>
        <v>65.08</v>
      </c>
      <c r="O180" s="284">
        <f t="shared" si="33"/>
        <v>65.52</v>
      </c>
      <c r="P180" s="284">
        <f t="shared" si="34"/>
        <v>68.9</v>
      </c>
    </row>
    <row r="181" spans="1:16" ht="12.75">
      <c r="A181" s="469"/>
      <c r="B181" s="383" t="s">
        <v>368</v>
      </c>
      <c r="C181" s="414" t="s">
        <v>339</v>
      </c>
      <c r="D181" s="409" t="s">
        <v>340</v>
      </c>
      <c r="E181" s="398" t="s">
        <v>341</v>
      </c>
      <c r="F181" s="874">
        <v>76.03</v>
      </c>
      <c r="G181" s="874">
        <v>76.03</v>
      </c>
      <c r="H181" s="874">
        <v>81.97</v>
      </c>
      <c r="I181" s="874">
        <v>77.11</v>
      </c>
      <c r="J181" s="874">
        <v>83.06</v>
      </c>
      <c r="L181" s="284">
        <f t="shared" si="30"/>
        <v>76.03</v>
      </c>
      <c r="M181" s="284">
        <f t="shared" si="31"/>
        <v>76.03</v>
      </c>
      <c r="N181" s="284">
        <f t="shared" si="32"/>
        <v>81.97</v>
      </c>
      <c r="O181" s="284">
        <f t="shared" si="33"/>
        <v>77.11</v>
      </c>
      <c r="P181" s="284">
        <f t="shared" si="34"/>
        <v>83.06</v>
      </c>
    </row>
    <row r="182" spans="1:16" ht="12.75">
      <c r="A182" s="469"/>
      <c r="B182" s="383"/>
      <c r="C182" s="412"/>
      <c r="D182" s="409" t="s">
        <v>342</v>
      </c>
      <c r="E182" s="398" t="s">
        <v>341</v>
      </c>
      <c r="F182" s="874">
        <v>71.2</v>
      </c>
      <c r="G182" s="874">
        <v>71.2</v>
      </c>
      <c r="H182" s="874">
        <v>76.5</v>
      </c>
      <c r="I182" s="874">
        <v>72.82</v>
      </c>
      <c r="J182" s="874">
        <v>78.09</v>
      </c>
      <c r="L182" s="284">
        <f t="shared" si="30"/>
        <v>71.2</v>
      </c>
      <c r="M182" s="284">
        <f t="shared" si="31"/>
        <v>71.2</v>
      </c>
      <c r="N182" s="284">
        <f t="shared" si="32"/>
        <v>76.5</v>
      </c>
      <c r="O182" s="284">
        <f t="shared" si="33"/>
        <v>72.82</v>
      </c>
      <c r="P182" s="284">
        <f t="shared" si="34"/>
        <v>78.09</v>
      </c>
    </row>
    <row r="183" spans="1:16" ht="12.75">
      <c r="A183" s="469"/>
      <c r="B183" s="383"/>
      <c r="C183" s="413"/>
      <c r="D183" s="409" t="s">
        <v>343</v>
      </c>
      <c r="E183" s="398" t="s">
        <v>341</v>
      </c>
      <c r="F183" s="874">
        <v>71.2</v>
      </c>
      <c r="G183" s="874">
        <v>71.2</v>
      </c>
      <c r="H183" s="874">
        <v>76.5</v>
      </c>
      <c r="I183" s="874">
        <v>72.82</v>
      </c>
      <c r="J183" s="874">
        <v>78.09</v>
      </c>
      <c r="L183" s="284">
        <f t="shared" si="30"/>
        <v>71.2</v>
      </c>
      <c r="M183" s="284">
        <f t="shared" si="31"/>
        <v>71.2</v>
      </c>
      <c r="N183" s="284">
        <f t="shared" si="32"/>
        <v>76.5</v>
      </c>
      <c r="O183" s="284">
        <f t="shared" si="33"/>
        <v>72.82</v>
      </c>
      <c r="P183" s="284">
        <f t="shared" si="34"/>
        <v>78.09</v>
      </c>
    </row>
    <row r="184" spans="1:16" ht="12.75">
      <c r="A184" s="469"/>
      <c r="B184" s="383"/>
      <c r="C184" s="414" t="s">
        <v>344</v>
      </c>
      <c r="D184" s="409" t="s">
        <v>345</v>
      </c>
      <c r="E184" s="398" t="s">
        <v>341</v>
      </c>
      <c r="F184" s="874">
        <v>113.7</v>
      </c>
      <c r="G184" s="874">
        <v>113.7</v>
      </c>
      <c r="H184" s="874">
        <v>121.64</v>
      </c>
      <c r="I184" s="874">
        <v>117.42</v>
      </c>
      <c r="J184" s="874">
        <v>125.33</v>
      </c>
      <c r="L184" s="284">
        <f t="shared" si="30"/>
        <v>113.7</v>
      </c>
      <c r="M184" s="284">
        <f t="shared" si="31"/>
        <v>113.7</v>
      </c>
      <c r="N184" s="284">
        <f t="shared" si="32"/>
        <v>121.64</v>
      </c>
      <c r="O184" s="284">
        <f t="shared" si="33"/>
        <v>117.42</v>
      </c>
      <c r="P184" s="284">
        <f t="shared" si="34"/>
        <v>125.33</v>
      </c>
    </row>
    <row r="185" spans="1:16" ht="12.75">
      <c r="A185" s="469"/>
      <c r="B185" s="383"/>
      <c r="C185" s="412"/>
      <c r="D185" s="409" t="s">
        <v>346</v>
      </c>
      <c r="E185" s="398" t="s">
        <v>341</v>
      </c>
      <c r="F185" s="874">
        <v>91.67</v>
      </c>
      <c r="G185" s="874">
        <v>91.67</v>
      </c>
      <c r="H185" s="874">
        <v>98.5</v>
      </c>
      <c r="I185" s="874">
        <v>93.8</v>
      </c>
      <c r="J185" s="874">
        <v>100.56</v>
      </c>
      <c r="L185" s="284">
        <f t="shared" si="30"/>
        <v>91.67</v>
      </c>
      <c r="M185" s="284">
        <f t="shared" si="31"/>
        <v>91.67</v>
      </c>
      <c r="N185" s="284">
        <f t="shared" si="32"/>
        <v>98.5</v>
      </c>
      <c r="O185" s="284">
        <f t="shared" si="33"/>
        <v>93.8</v>
      </c>
      <c r="P185" s="284">
        <f t="shared" si="34"/>
        <v>100.56</v>
      </c>
    </row>
    <row r="186" spans="1:16" ht="12.75">
      <c r="A186" s="469"/>
      <c r="B186" s="399"/>
      <c r="C186" s="413"/>
      <c r="D186" s="409" t="s">
        <v>347</v>
      </c>
      <c r="E186" s="398" t="s">
        <v>341</v>
      </c>
      <c r="F186" s="874">
        <v>91.67</v>
      </c>
      <c r="G186" s="874">
        <v>91.67</v>
      </c>
      <c r="H186" s="874">
        <v>98.5</v>
      </c>
      <c r="I186" s="874">
        <v>93.8</v>
      </c>
      <c r="J186" s="874">
        <v>100.56</v>
      </c>
      <c r="L186" s="284">
        <f t="shared" si="30"/>
        <v>91.67</v>
      </c>
      <c r="M186" s="284">
        <f t="shared" si="31"/>
        <v>91.67</v>
      </c>
      <c r="N186" s="284">
        <f t="shared" si="32"/>
        <v>98.5</v>
      </c>
      <c r="O186" s="284">
        <f t="shared" si="33"/>
        <v>93.8</v>
      </c>
      <c r="P186" s="284">
        <f t="shared" si="34"/>
        <v>100.56</v>
      </c>
    </row>
    <row r="187" spans="1:16" ht="12.75">
      <c r="A187" s="469"/>
      <c r="B187" s="877"/>
      <c r="C187" s="878"/>
      <c r="D187" s="271"/>
      <c r="E187" s="879"/>
      <c r="F187" s="339"/>
      <c r="G187" s="339"/>
      <c r="H187" s="339"/>
      <c r="I187" s="339"/>
      <c r="J187" s="339"/>
      <c r="L187" s="284"/>
      <c r="M187" s="284"/>
      <c r="N187" s="284"/>
      <c r="O187" s="284"/>
      <c r="P187" s="284"/>
    </row>
    <row r="188" spans="1:16" ht="12.75">
      <c r="A188" s="469"/>
      <c r="B188" s="877"/>
      <c r="C188" s="878"/>
      <c r="D188" s="271"/>
      <c r="E188" s="879"/>
      <c r="F188" s="339"/>
      <c r="G188" s="339"/>
      <c r="H188" s="339"/>
      <c r="I188" s="339"/>
      <c r="J188" s="339"/>
      <c r="L188" s="284"/>
      <c r="M188" s="284"/>
      <c r="N188" s="284"/>
      <c r="O188" s="284"/>
      <c r="P188" s="284"/>
    </row>
    <row r="189" spans="1:16" ht="12.75">
      <c r="A189" s="469"/>
      <c r="B189" s="877"/>
      <c r="C189" s="878"/>
      <c r="D189" s="271"/>
      <c r="E189" s="879"/>
      <c r="F189" s="339"/>
      <c r="G189" s="339"/>
      <c r="H189" s="339"/>
      <c r="I189" s="339"/>
      <c r="J189" s="339"/>
      <c r="L189" s="284"/>
      <c r="M189" s="284"/>
      <c r="N189" s="284"/>
      <c r="O189" s="284"/>
      <c r="P189" s="284"/>
    </row>
    <row r="191" spans="2:13" ht="12.75">
      <c r="B191" s="400"/>
      <c r="C191" s="400"/>
      <c r="D191" s="400"/>
      <c r="E191" s="400"/>
      <c r="F191" s="400"/>
      <c r="G191" s="400"/>
      <c r="H191" s="400"/>
      <c r="I191" s="400"/>
      <c r="J191" s="400"/>
      <c r="K191" s="400"/>
      <c r="L191" s="400"/>
      <c r="M191" s="400"/>
    </row>
    <row r="193" spans="2:10" ht="18.75">
      <c r="B193" s="937" t="s">
        <v>373</v>
      </c>
      <c r="C193" s="937"/>
      <c r="D193" s="937"/>
      <c r="E193" s="937"/>
      <c r="F193" s="937"/>
      <c r="G193" s="937"/>
      <c r="H193" s="937"/>
      <c r="I193" s="937"/>
      <c r="J193" s="937"/>
    </row>
    <row r="194" spans="2:8" ht="18.75">
      <c r="B194" s="418"/>
      <c r="C194" s="418"/>
      <c r="D194" s="418"/>
      <c r="E194" s="418"/>
      <c r="F194" s="418"/>
      <c r="G194" s="418"/>
      <c r="H194" s="418"/>
    </row>
    <row r="195" spans="1:10" ht="12.75">
      <c r="A195" s="469"/>
      <c r="B195" s="401" t="s">
        <v>50</v>
      </c>
      <c r="C195" s="402"/>
      <c r="D195" s="402"/>
      <c r="E195" s="403"/>
      <c r="F195" s="404" t="s">
        <v>318</v>
      </c>
      <c r="G195" s="405"/>
      <c r="H195" s="405"/>
      <c r="I195" s="406"/>
      <c r="J195" s="406"/>
    </row>
    <row r="196" spans="1:10" ht="12.75">
      <c r="A196" s="469"/>
      <c r="B196" s="392"/>
      <c r="C196" s="407"/>
      <c r="D196" s="407"/>
      <c r="E196" s="407"/>
      <c r="F196" s="407"/>
      <c r="G196" s="407" t="s">
        <v>331</v>
      </c>
      <c r="H196" s="407"/>
      <c r="I196" s="407" t="s">
        <v>331</v>
      </c>
      <c r="J196" s="407" t="s">
        <v>332</v>
      </c>
    </row>
    <row r="197" spans="1:10" ht="12.75">
      <c r="A197" s="469"/>
      <c r="B197" s="376" t="s">
        <v>130</v>
      </c>
      <c r="C197" s="376" t="s">
        <v>3</v>
      </c>
      <c r="D197" s="376" t="s">
        <v>319</v>
      </c>
      <c r="E197" s="376" t="s">
        <v>333</v>
      </c>
      <c r="F197" s="376" t="s">
        <v>334</v>
      </c>
      <c r="G197" s="376" t="s">
        <v>335</v>
      </c>
      <c r="H197" s="376" t="s">
        <v>336</v>
      </c>
      <c r="I197" s="376" t="s">
        <v>337</v>
      </c>
      <c r="J197" s="376" t="s">
        <v>338</v>
      </c>
    </row>
    <row r="198" spans="1:10" ht="12.75">
      <c r="A198" s="469"/>
      <c r="B198" s="316"/>
      <c r="C198" s="316"/>
      <c r="D198" s="316"/>
      <c r="E198" s="316"/>
      <c r="F198" s="316"/>
      <c r="G198" s="316"/>
      <c r="H198" s="316"/>
      <c r="I198" s="316" t="s">
        <v>338</v>
      </c>
      <c r="J198" s="316"/>
    </row>
    <row r="199" spans="1:16" ht="12.75">
      <c r="A199" s="469"/>
      <c r="B199" s="944" t="s">
        <v>374</v>
      </c>
      <c r="C199" s="408" t="s">
        <v>320</v>
      </c>
      <c r="D199" s="409" t="s">
        <v>375</v>
      </c>
      <c r="E199" s="398" t="s">
        <v>341</v>
      </c>
      <c r="F199" s="874">
        <v>52.17</v>
      </c>
      <c r="G199" s="874">
        <v>47.85</v>
      </c>
      <c r="H199" s="874">
        <v>51.83</v>
      </c>
      <c r="I199" s="874">
        <v>48.05</v>
      </c>
      <c r="J199" s="874">
        <v>51.97</v>
      </c>
      <c r="L199" s="284">
        <f>+ROUND(F199,2)</f>
        <v>52.17</v>
      </c>
      <c r="M199" s="284">
        <f>+ROUND(G199,2)</f>
        <v>47.85</v>
      </c>
      <c r="N199" s="284">
        <f>+ROUND(H199,2)</f>
        <v>51.83</v>
      </c>
      <c r="O199" s="284">
        <f>+ROUND(I199,2)</f>
        <v>48.05</v>
      </c>
      <c r="P199" s="284">
        <f>+ROUND(J199,2)</f>
        <v>51.97</v>
      </c>
    </row>
    <row r="200" spans="1:16" ht="12.75">
      <c r="A200" s="469"/>
      <c r="B200" s="944"/>
      <c r="C200" s="411"/>
      <c r="D200" s="409" t="s">
        <v>376</v>
      </c>
      <c r="E200" s="398" t="s">
        <v>341</v>
      </c>
      <c r="F200" s="874">
        <v>52.14</v>
      </c>
      <c r="G200" s="874">
        <v>47.81</v>
      </c>
      <c r="H200" s="874">
        <v>51.77</v>
      </c>
      <c r="I200" s="874">
        <v>52.37</v>
      </c>
      <c r="J200" s="874">
        <v>51.94</v>
      </c>
      <c r="L200" s="284">
        <f aca="true" t="shared" si="35" ref="L200:L206">+ROUND(F200,2)</f>
        <v>52.14</v>
      </c>
      <c r="M200" s="284">
        <f aca="true" t="shared" si="36" ref="M200:M206">+ROUND(G200,2)</f>
        <v>47.81</v>
      </c>
      <c r="N200" s="284">
        <f aca="true" t="shared" si="37" ref="N200:N206">+ROUND(H200,2)</f>
        <v>51.77</v>
      </c>
      <c r="O200" s="284">
        <f aca="true" t="shared" si="38" ref="O200:O206">+ROUND(I200,2)</f>
        <v>52.37</v>
      </c>
      <c r="P200" s="284">
        <f aca="true" t="shared" si="39" ref="P200:P206">+ROUND(J200,2)</f>
        <v>51.94</v>
      </c>
    </row>
    <row r="201" spans="1:16" ht="12.75">
      <c r="A201" s="469"/>
      <c r="B201" s="944"/>
      <c r="C201" s="408" t="s">
        <v>328</v>
      </c>
      <c r="D201" s="409" t="s">
        <v>375</v>
      </c>
      <c r="E201" s="398" t="s">
        <v>341</v>
      </c>
      <c r="F201" s="874">
        <v>52.14</v>
      </c>
      <c r="G201" s="874">
        <v>47.81</v>
      </c>
      <c r="H201" s="874">
        <v>51.77</v>
      </c>
      <c r="I201" s="874">
        <v>48.02</v>
      </c>
      <c r="J201" s="874">
        <v>51.94</v>
      </c>
      <c r="L201" s="284">
        <f t="shared" si="35"/>
        <v>52.14</v>
      </c>
      <c r="M201" s="284">
        <f t="shared" si="36"/>
        <v>47.81</v>
      </c>
      <c r="N201" s="284">
        <f t="shared" si="37"/>
        <v>51.77</v>
      </c>
      <c r="O201" s="284">
        <f t="shared" si="38"/>
        <v>48.02</v>
      </c>
      <c r="P201" s="284">
        <f t="shared" si="39"/>
        <v>51.94</v>
      </c>
    </row>
    <row r="202" spans="1:16" ht="12.75">
      <c r="A202" s="469"/>
      <c r="B202" s="944"/>
      <c r="C202" s="413"/>
      <c r="D202" s="409" t="s">
        <v>376</v>
      </c>
      <c r="E202" s="398" t="s">
        <v>341</v>
      </c>
      <c r="F202" s="874">
        <v>57.38</v>
      </c>
      <c r="G202" s="874">
        <v>57.38</v>
      </c>
      <c r="H202" s="874">
        <v>62.11</v>
      </c>
      <c r="I202" s="874">
        <v>57.61</v>
      </c>
      <c r="J202" s="874">
        <v>62.38</v>
      </c>
      <c r="L202" s="284">
        <f t="shared" si="35"/>
        <v>57.38</v>
      </c>
      <c r="M202" s="284">
        <f t="shared" si="36"/>
        <v>57.38</v>
      </c>
      <c r="N202" s="284">
        <f t="shared" si="37"/>
        <v>62.11</v>
      </c>
      <c r="O202" s="284">
        <f t="shared" si="38"/>
        <v>57.61</v>
      </c>
      <c r="P202" s="284">
        <f t="shared" si="39"/>
        <v>62.38</v>
      </c>
    </row>
    <row r="203" spans="1:16" ht="12.75">
      <c r="A203" s="469"/>
      <c r="B203" s="944"/>
      <c r="C203" s="414" t="s">
        <v>339</v>
      </c>
      <c r="D203" s="409" t="s">
        <v>375</v>
      </c>
      <c r="E203" s="398" t="s">
        <v>341</v>
      </c>
      <c r="F203" s="874">
        <v>201.69</v>
      </c>
      <c r="G203" s="874">
        <v>201.69</v>
      </c>
      <c r="H203" s="874">
        <v>209.63</v>
      </c>
      <c r="I203" s="874">
        <v>200.58</v>
      </c>
      <c r="J203" s="874">
        <v>208.48</v>
      </c>
      <c r="L203" s="284">
        <f t="shared" si="35"/>
        <v>201.69</v>
      </c>
      <c r="M203" s="284">
        <f t="shared" si="36"/>
        <v>201.69</v>
      </c>
      <c r="N203" s="284">
        <f t="shared" si="37"/>
        <v>209.63</v>
      </c>
      <c r="O203" s="284">
        <f t="shared" si="38"/>
        <v>200.58</v>
      </c>
      <c r="P203" s="284">
        <f t="shared" si="39"/>
        <v>208.48</v>
      </c>
    </row>
    <row r="204" spans="1:16" ht="12.75">
      <c r="A204" s="469"/>
      <c r="B204" s="944"/>
      <c r="C204" s="413"/>
      <c r="D204" s="409" t="s">
        <v>376</v>
      </c>
      <c r="E204" s="398" t="s">
        <v>341</v>
      </c>
      <c r="F204" s="874">
        <v>81.91</v>
      </c>
      <c r="G204" s="874">
        <v>81.91</v>
      </c>
      <c r="H204" s="874">
        <v>88.73</v>
      </c>
      <c r="I204" s="874">
        <v>82.28</v>
      </c>
      <c r="J204" s="874">
        <v>89.04</v>
      </c>
      <c r="L204" s="284">
        <f t="shared" si="35"/>
        <v>81.91</v>
      </c>
      <c r="M204" s="284">
        <f t="shared" si="36"/>
        <v>81.91</v>
      </c>
      <c r="N204" s="284">
        <f t="shared" si="37"/>
        <v>88.73</v>
      </c>
      <c r="O204" s="284">
        <f t="shared" si="38"/>
        <v>82.28</v>
      </c>
      <c r="P204" s="284">
        <f t="shared" si="39"/>
        <v>89.04</v>
      </c>
    </row>
    <row r="205" spans="1:16" ht="12.75">
      <c r="A205" s="469"/>
      <c r="B205" s="944"/>
      <c r="C205" s="414" t="s">
        <v>344</v>
      </c>
      <c r="D205" s="409" t="s">
        <v>375</v>
      </c>
      <c r="E205" s="398" t="s">
        <v>341</v>
      </c>
      <c r="F205" s="874">
        <v>356.99</v>
      </c>
      <c r="G205" s="874">
        <v>356.99</v>
      </c>
      <c r="H205" s="874">
        <v>366.55</v>
      </c>
      <c r="I205" s="874">
        <v>376.52</v>
      </c>
      <c r="J205" s="874">
        <v>386.02</v>
      </c>
      <c r="L205" s="284">
        <f t="shared" si="35"/>
        <v>356.99</v>
      </c>
      <c r="M205" s="284">
        <f>+ROUND(G205,2)</f>
        <v>356.99</v>
      </c>
      <c r="N205" s="284">
        <f t="shared" si="37"/>
        <v>366.55</v>
      </c>
      <c r="O205" s="284">
        <f t="shared" si="38"/>
        <v>376.52</v>
      </c>
      <c r="P205" s="284">
        <f t="shared" si="39"/>
        <v>386.02</v>
      </c>
    </row>
    <row r="206" spans="1:16" ht="12.75">
      <c r="A206" s="469"/>
      <c r="B206" s="945"/>
      <c r="C206" s="413"/>
      <c r="D206" s="409" t="s">
        <v>376</v>
      </c>
      <c r="E206" s="398" t="s">
        <v>341</v>
      </c>
      <c r="F206" s="874">
        <v>210.51</v>
      </c>
      <c r="G206" s="874">
        <v>210.51</v>
      </c>
      <c r="H206" s="874">
        <v>218.49</v>
      </c>
      <c r="I206" s="874">
        <v>231.8</v>
      </c>
      <c r="J206" s="874">
        <v>239.71</v>
      </c>
      <c r="L206" s="284">
        <f t="shared" si="35"/>
        <v>210.51</v>
      </c>
      <c r="M206" s="284">
        <f t="shared" si="36"/>
        <v>210.51</v>
      </c>
      <c r="N206" s="284">
        <f t="shared" si="37"/>
        <v>218.49</v>
      </c>
      <c r="O206" s="284">
        <f t="shared" si="38"/>
        <v>231.8</v>
      </c>
      <c r="P206" s="284">
        <f t="shared" si="39"/>
        <v>239.71</v>
      </c>
    </row>
    <row r="208" spans="2:13" ht="12.75">
      <c r="B208" s="400"/>
      <c r="C208" s="400"/>
      <c r="D208" s="400"/>
      <c r="E208" s="400"/>
      <c r="F208" s="400"/>
      <c r="G208" s="400"/>
      <c r="H208" s="400"/>
      <c r="I208" s="400"/>
      <c r="J208" s="400"/>
      <c r="K208" s="400"/>
      <c r="L208" s="400"/>
      <c r="M208" s="400"/>
    </row>
    <row r="210" spans="2:7" ht="18.75">
      <c r="B210" s="418" t="s">
        <v>377</v>
      </c>
      <c r="C210" s="419"/>
      <c r="D210" s="419"/>
      <c r="E210" s="419"/>
      <c r="F210" s="419"/>
      <c r="G210" s="419"/>
    </row>
    <row r="212" spans="2:7" ht="12.75">
      <c r="B212" s="420" t="s">
        <v>378</v>
      </c>
      <c r="C212" s="421"/>
      <c r="D212" s="421"/>
      <c r="E212" s="421"/>
      <c r="F212" s="421"/>
      <c r="G212" s="421"/>
    </row>
    <row r="213" spans="2:7" ht="12.75">
      <c r="B213" s="421"/>
      <c r="C213" s="421"/>
      <c r="D213" s="421"/>
      <c r="E213" s="421"/>
      <c r="F213" s="421"/>
      <c r="G213" s="421"/>
    </row>
    <row r="214" spans="1:7" ht="12.75">
      <c r="A214" s="469"/>
      <c r="B214" s="392"/>
      <c r="C214" s="422" t="s">
        <v>349</v>
      </c>
      <c r="D214" s="422" t="s">
        <v>331</v>
      </c>
      <c r="E214" s="422" t="s">
        <v>336</v>
      </c>
      <c r="F214" s="422" t="s">
        <v>331</v>
      </c>
      <c r="G214" s="423" t="s">
        <v>332</v>
      </c>
    </row>
    <row r="215" spans="1:14" ht="18">
      <c r="A215" s="469"/>
      <c r="B215" s="424" t="s">
        <v>319</v>
      </c>
      <c r="C215" s="425"/>
      <c r="D215" s="425" t="s">
        <v>335</v>
      </c>
      <c r="E215" s="425"/>
      <c r="F215" s="425" t="s">
        <v>337</v>
      </c>
      <c r="G215" s="424" t="s">
        <v>338</v>
      </c>
      <c r="N215" s="464">
        <v>1.0153</v>
      </c>
    </row>
    <row r="216" spans="1:7" ht="12.75">
      <c r="A216" s="469"/>
      <c r="B216" s="426"/>
      <c r="C216" s="427"/>
      <c r="D216" s="427"/>
      <c r="E216" s="427"/>
      <c r="F216" s="427" t="s">
        <v>338</v>
      </c>
      <c r="G216" s="426"/>
    </row>
    <row r="217" spans="1:20" ht="12.75">
      <c r="A217" s="469"/>
      <c r="B217" s="435" t="s">
        <v>321</v>
      </c>
      <c r="C217" s="880">
        <v>0.8858</v>
      </c>
      <c r="D217" s="880">
        <v>0.8837</v>
      </c>
      <c r="E217" s="880">
        <v>0.9403</v>
      </c>
      <c r="F217" s="880">
        <v>0.8765</v>
      </c>
      <c r="G217" s="880">
        <v>0.9293</v>
      </c>
      <c r="I217" s="468">
        <f>+ROUND(C217,4)</f>
        <v>0.8858</v>
      </c>
      <c r="J217" s="468">
        <f>+ROUND(D217,4)</f>
        <v>0.8837</v>
      </c>
      <c r="K217" s="468">
        <f>+ROUND(E217,4)</f>
        <v>0.9403</v>
      </c>
      <c r="L217" s="468">
        <f>+ROUND(F217,4)</f>
        <v>0.8765</v>
      </c>
      <c r="M217" s="468">
        <f>+ROUND(G217,4)</f>
        <v>0.9293</v>
      </c>
      <c r="O217" s="468">
        <f>+C217*$N$215</f>
        <v>0.8993527400000001</v>
      </c>
      <c r="P217" s="468">
        <f>+D217*$N$215</f>
        <v>0.8972206100000001</v>
      </c>
      <c r="Q217" s="468">
        <f>+E217*$N$215</f>
        <v>0.9546865900000001</v>
      </c>
      <c r="R217" s="468">
        <f>+F217*$N$215</f>
        <v>0.88991045</v>
      </c>
      <c r="S217" s="468">
        <f>+G217*$N$215</f>
        <v>0.9435182900000001</v>
      </c>
      <c r="T217" s="468"/>
    </row>
    <row r="218" spans="1:19" ht="12.75">
      <c r="A218" s="469"/>
      <c r="B218" s="436" t="s">
        <v>322</v>
      </c>
      <c r="C218" s="881">
        <v>0.906</v>
      </c>
      <c r="D218" s="881">
        <v>0.9051</v>
      </c>
      <c r="E218" s="881">
        <v>0.9493</v>
      </c>
      <c r="F218" s="881">
        <v>0.8899</v>
      </c>
      <c r="G218" s="881">
        <v>0.9418</v>
      </c>
      <c r="I218" s="468">
        <f>+ROUND(C218,4)</f>
        <v>0.906</v>
      </c>
      <c r="J218" s="468">
        <f>+ROUND(D218,4)</f>
        <v>0.9051</v>
      </c>
      <c r="K218" s="468">
        <f>+ROUND(E218,4)</f>
        <v>0.9493</v>
      </c>
      <c r="L218" s="468">
        <f>+ROUND(F218,4)</f>
        <v>0.8899</v>
      </c>
      <c r="M218" s="468">
        <f>+ROUND(G218,4)</f>
        <v>0.9418</v>
      </c>
      <c r="O218" s="468">
        <f>+C218*$N$215</f>
        <v>0.9198618000000001</v>
      </c>
      <c r="P218" s="468">
        <f>+D218*$N$215</f>
        <v>0.9189480300000001</v>
      </c>
      <c r="Q218" s="468">
        <f>+E218*$N$215</f>
        <v>0.9638242900000001</v>
      </c>
      <c r="R218" s="468">
        <f>+F218*$N$215</f>
        <v>0.9035154700000001</v>
      </c>
      <c r="S218" s="468">
        <f>+G218*$N$215</f>
        <v>0.95620954</v>
      </c>
    </row>
    <row r="219" spans="1:19" ht="12.75">
      <c r="A219" s="469"/>
      <c r="B219" s="436" t="s">
        <v>324</v>
      </c>
      <c r="C219" s="881">
        <v>0.8957</v>
      </c>
      <c r="D219" s="881">
        <v>0.9022</v>
      </c>
      <c r="E219" s="881">
        <v>0.9478</v>
      </c>
      <c r="F219" s="881">
        <v>0.8861</v>
      </c>
      <c r="G219" s="881">
        <v>0.9391</v>
      </c>
      <c r="I219" s="468">
        <f>+ROUND(C219,4)</f>
        <v>0.8957</v>
      </c>
      <c r="J219" s="468">
        <f>+ROUND(D219,4)</f>
        <v>0.9022</v>
      </c>
      <c r="K219" s="468">
        <f>+ROUND(E219,4)</f>
        <v>0.9478</v>
      </c>
      <c r="L219" s="468">
        <f>+ROUND(F219,4)</f>
        <v>0.8861</v>
      </c>
      <c r="M219" s="468">
        <f>+ROUND(G219,4)</f>
        <v>0.9391</v>
      </c>
      <c r="O219" s="468">
        <f>+C219*$N$215</f>
        <v>0.9094042100000002</v>
      </c>
      <c r="P219" s="468">
        <f>+D219*$N$215</f>
        <v>0.9160036600000001</v>
      </c>
      <c r="Q219" s="468">
        <f>+E219*$N$215</f>
        <v>0.9623013400000001</v>
      </c>
      <c r="R219" s="468">
        <f>+F219*$N$215</f>
        <v>0.89965733</v>
      </c>
      <c r="S219" s="468">
        <f>+G219*$N$215</f>
        <v>0.9534682300000001</v>
      </c>
    </row>
    <row r="220" spans="1:19" ht="12.75">
      <c r="A220" s="469"/>
      <c r="B220" s="437" t="s">
        <v>326</v>
      </c>
      <c r="C220" s="881">
        <v>0.7948</v>
      </c>
      <c r="D220" s="881">
        <v>0.7683</v>
      </c>
      <c r="E220" s="881">
        <v>0.8797</v>
      </c>
      <c r="F220" s="881">
        <v>0.7389</v>
      </c>
      <c r="G220" s="881">
        <v>0.8612</v>
      </c>
      <c r="I220" s="468">
        <f>+ROUND(C220,4)</f>
        <v>0.7948</v>
      </c>
      <c r="J220" s="468">
        <f>+ROUND(D220,4)</f>
        <v>0.7683</v>
      </c>
      <c r="K220" s="468">
        <f>+ROUND(E220,4)</f>
        <v>0.8797</v>
      </c>
      <c r="L220" s="468">
        <f>+ROUND(F220,4)</f>
        <v>0.7389</v>
      </c>
      <c r="M220" s="468">
        <f>+ROUND(G220,4)</f>
        <v>0.8612</v>
      </c>
      <c r="O220" s="468">
        <f>+C220*$N$215</f>
        <v>0.80696044</v>
      </c>
      <c r="P220" s="468">
        <f>+D220*$N$215</f>
        <v>0.78005499</v>
      </c>
      <c r="Q220" s="468">
        <f>+E220*$N$215</f>
        <v>0.8931594100000001</v>
      </c>
      <c r="R220" s="468">
        <f>+F220*$N$215</f>
        <v>0.7502051700000001</v>
      </c>
      <c r="S220" s="468">
        <f>+G220*$N$215</f>
        <v>0.8743763600000001</v>
      </c>
    </row>
    <row r="221" spans="1:19" ht="25.5">
      <c r="A221" s="469"/>
      <c r="B221" s="437" t="s">
        <v>351</v>
      </c>
      <c r="C221" s="881">
        <v>0.8378</v>
      </c>
      <c r="D221" s="881">
        <v>0.8357</v>
      </c>
      <c r="E221" s="881">
        <v>0.8533</v>
      </c>
      <c r="F221" s="881">
        <v>0.8179</v>
      </c>
      <c r="G221" s="881">
        <v>0.833</v>
      </c>
      <c r="I221" s="468">
        <f>+ROUND(C221,4)</f>
        <v>0.8378</v>
      </c>
      <c r="J221" s="468">
        <f>+ROUND(D221,4)</f>
        <v>0.8357</v>
      </c>
      <c r="K221" s="468">
        <f>+ROUND(E221,4)</f>
        <v>0.8533</v>
      </c>
      <c r="L221" s="468">
        <f>+ROUND(F221,4)</f>
        <v>0.8179</v>
      </c>
      <c r="M221" s="468">
        <f>+ROUND(G221,4)</f>
        <v>0.833</v>
      </c>
      <c r="O221" s="468">
        <f>+C221*$N$215</f>
        <v>0.85061834</v>
      </c>
      <c r="P221" s="468">
        <f>+D221*$N$215</f>
        <v>0.8484862100000001</v>
      </c>
      <c r="Q221" s="468">
        <f>+E221*$N$215</f>
        <v>0.86635549</v>
      </c>
      <c r="R221" s="468">
        <f>+F221*$N$215</f>
        <v>0.83041387</v>
      </c>
      <c r="S221" s="468">
        <f>+G221*$N$215</f>
        <v>0.8457449</v>
      </c>
    </row>
    <row r="222" spans="2:19" ht="12.75">
      <c r="B222" s="421"/>
      <c r="C222" s="421"/>
      <c r="D222" s="421"/>
      <c r="E222" s="421"/>
      <c r="F222" s="421"/>
      <c r="G222" s="421"/>
      <c r="I222" s="468"/>
      <c r="J222" s="468"/>
      <c r="K222" s="468"/>
      <c r="L222" s="468"/>
      <c r="M222" s="468"/>
      <c r="O222" s="468"/>
      <c r="P222" s="468"/>
      <c r="Q222" s="468"/>
      <c r="R222" s="468"/>
      <c r="S222" s="468"/>
    </row>
    <row r="223" spans="2:19" ht="12.75">
      <c r="B223" s="420" t="s">
        <v>379</v>
      </c>
      <c r="C223" s="421"/>
      <c r="D223" s="421"/>
      <c r="E223" s="421"/>
      <c r="F223" s="421"/>
      <c r="G223" s="421"/>
      <c r="I223" s="468"/>
      <c r="J223" s="468"/>
      <c r="K223" s="468"/>
      <c r="L223" s="468"/>
      <c r="M223" s="468"/>
      <c r="O223" s="468"/>
      <c r="P223" s="468"/>
      <c r="Q223" s="468"/>
      <c r="R223" s="468"/>
      <c r="S223" s="468"/>
    </row>
    <row r="224" spans="2:19" ht="12.75">
      <c r="B224" s="421"/>
      <c r="C224" s="421"/>
      <c r="D224" s="421"/>
      <c r="E224" s="421"/>
      <c r="F224" s="421"/>
      <c r="G224" s="421"/>
      <c r="I224" s="468"/>
      <c r="J224" s="468"/>
      <c r="K224" s="468"/>
      <c r="L224" s="468"/>
      <c r="M224" s="468"/>
      <c r="O224" s="468"/>
      <c r="P224" s="468"/>
      <c r="Q224" s="468"/>
      <c r="R224" s="468"/>
      <c r="S224" s="468"/>
    </row>
    <row r="225" spans="1:19" ht="12.75">
      <c r="A225" s="469"/>
      <c r="B225" s="374"/>
      <c r="C225" s="428" t="s">
        <v>349</v>
      </c>
      <c r="D225" s="428" t="s">
        <v>331</v>
      </c>
      <c r="E225" s="428" t="s">
        <v>336</v>
      </c>
      <c r="F225" s="428" t="s">
        <v>331</v>
      </c>
      <c r="G225" s="429" t="s">
        <v>332</v>
      </c>
      <c r="I225" s="468"/>
      <c r="J225" s="468"/>
      <c r="K225" s="468"/>
      <c r="L225" s="468"/>
      <c r="M225" s="468"/>
      <c r="O225" s="468"/>
      <c r="P225" s="468"/>
      <c r="Q225" s="468"/>
      <c r="R225" s="468"/>
      <c r="S225" s="468"/>
    </row>
    <row r="226" spans="1:19" ht="12.75">
      <c r="A226" s="469"/>
      <c r="B226" s="424" t="s">
        <v>319</v>
      </c>
      <c r="C226" s="425"/>
      <c r="D226" s="425" t="s">
        <v>335</v>
      </c>
      <c r="E226" s="425"/>
      <c r="F226" s="425" t="s">
        <v>337</v>
      </c>
      <c r="G226" s="424" t="s">
        <v>338</v>
      </c>
      <c r="I226" s="468"/>
      <c r="J226" s="468"/>
      <c r="K226" s="468"/>
      <c r="L226" s="468"/>
      <c r="M226" s="468"/>
      <c r="O226" s="468"/>
      <c r="P226" s="468"/>
      <c r="Q226" s="468"/>
      <c r="R226" s="468"/>
      <c r="S226" s="468"/>
    </row>
    <row r="227" spans="1:19" ht="12.75">
      <c r="A227" s="469"/>
      <c r="B227" s="426"/>
      <c r="C227" s="427"/>
      <c r="D227" s="427"/>
      <c r="E227" s="427"/>
      <c r="F227" s="427" t="s">
        <v>338</v>
      </c>
      <c r="G227" s="426"/>
      <c r="I227" s="468"/>
      <c r="J227" s="468"/>
      <c r="K227" s="468"/>
      <c r="L227" s="468"/>
      <c r="M227" s="468"/>
      <c r="O227" s="468"/>
      <c r="P227" s="468"/>
      <c r="Q227" s="468"/>
      <c r="R227" s="468"/>
      <c r="S227" s="468"/>
    </row>
    <row r="228" spans="1:19" ht="12.75">
      <c r="A228" s="469"/>
      <c r="B228" s="438" t="s">
        <v>321</v>
      </c>
      <c r="C228" s="881">
        <v>0.8959</v>
      </c>
      <c r="D228" s="881">
        <v>0.898</v>
      </c>
      <c r="E228" s="881">
        <v>0.945</v>
      </c>
      <c r="F228" s="881">
        <v>0.8888</v>
      </c>
      <c r="G228" s="881">
        <v>0.9373</v>
      </c>
      <c r="I228" s="468">
        <f>+ROUND(C228,4)</f>
        <v>0.8959</v>
      </c>
      <c r="J228" s="468">
        <f>+ROUND(D228,4)</f>
        <v>0.898</v>
      </c>
      <c r="K228" s="468">
        <f>+ROUND(E228,4)</f>
        <v>0.945</v>
      </c>
      <c r="L228" s="468">
        <f>+ROUND(F228,4)</f>
        <v>0.8888</v>
      </c>
      <c r="M228" s="468">
        <f>+ROUND(G228,4)</f>
        <v>0.9373</v>
      </c>
      <c r="O228" s="468">
        <f>+C228*$N$215</f>
        <v>0.9096072700000001</v>
      </c>
      <c r="P228" s="468">
        <f>+D228*$N$215</f>
        <v>0.9117394000000001</v>
      </c>
      <c r="Q228" s="468">
        <f>+E228*$N$215</f>
        <v>0.9594585</v>
      </c>
      <c r="R228" s="468">
        <f>+F228*$N$215</f>
        <v>0.9023986400000001</v>
      </c>
      <c r="S228" s="468">
        <f>+G228*$N$215</f>
        <v>0.9516406900000001</v>
      </c>
    </row>
    <row r="229" spans="1:19" ht="12.75">
      <c r="A229" s="469"/>
      <c r="B229" s="439" t="s">
        <v>322</v>
      </c>
      <c r="C229" s="881">
        <v>0.9098</v>
      </c>
      <c r="D229" s="881">
        <v>0.9079</v>
      </c>
      <c r="E229" s="881">
        <v>0.9505</v>
      </c>
      <c r="F229" s="881">
        <v>0.8967</v>
      </c>
      <c r="G229" s="881">
        <v>0.941</v>
      </c>
      <c r="I229" s="468">
        <f>+ROUND(C229,4)</f>
        <v>0.9098</v>
      </c>
      <c r="J229" s="468">
        <f>+ROUND(D229,4)</f>
        <v>0.9079</v>
      </c>
      <c r="K229" s="468">
        <f>+ROUND(E229,4)</f>
        <v>0.9505</v>
      </c>
      <c r="L229" s="468">
        <f>+ROUND(F229,4)</f>
        <v>0.8967</v>
      </c>
      <c r="M229" s="468">
        <f>+ROUND(G229,4)</f>
        <v>0.941</v>
      </c>
      <c r="O229" s="468">
        <f>+C229*$N$215</f>
        <v>0.9237199400000001</v>
      </c>
      <c r="P229" s="468">
        <f>+D229*$N$215</f>
        <v>0.9217908700000002</v>
      </c>
      <c r="Q229" s="468">
        <f>+E229*$N$215</f>
        <v>0.9650426500000001</v>
      </c>
      <c r="R229" s="468">
        <f>+F229*$N$215</f>
        <v>0.9104195100000001</v>
      </c>
      <c r="S229" s="468">
        <f>+G229*$N$215</f>
        <v>0.9553973</v>
      </c>
    </row>
    <row r="230" spans="1:19" ht="12.75">
      <c r="A230" s="469"/>
      <c r="B230" s="439" t="s">
        <v>324</v>
      </c>
      <c r="C230" s="881">
        <v>0.8986</v>
      </c>
      <c r="D230" s="881">
        <v>0.9</v>
      </c>
      <c r="E230" s="881">
        <v>0.9447</v>
      </c>
      <c r="F230" s="881">
        <v>0.8884</v>
      </c>
      <c r="G230" s="881">
        <v>0.938</v>
      </c>
      <c r="I230" s="468">
        <f>+ROUND(C230,4)</f>
        <v>0.8986</v>
      </c>
      <c r="J230" s="468">
        <f>+ROUND(D230,4)</f>
        <v>0.9</v>
      </c>
      <c r="K230" s="468">
        <f>+ROUND(E230,4)</f>
        <v>0.9447</v>
      </c>
      <c r="L230" s="468">
        <f>+ROUND(F230,4)</f>
        <v>0.8884</v>
      </c>
      <c r="M230" s="468">
        <f>+ROUND(G230,4)</f>
        <v>0.938</v>
      </c>
      <c r="O230" s="468">
        <f>+C230*$N$215</f>
        <v>0.9123485800000001</v>
      </c>
      <c r="P230" s="468">
        <f>+D230*$N$215</f>
        <v>0.9137700000000001</v>
      </c>
      <c r="Q230" s="468">
        <f>+E230*$N$215</f>
        <v>0.95915391</v>
      </c>
      <c r="R230" s="468">
        <f>+F230*$N$215</f>
        <v>0.9019925200000001</v>
      </c>
      <c r="S230" s="468">
        <f>+G230*$N$215</f>
        <v>0.9523514000000001</v>
      </c>
    </row>
    <row r="231" spans="1:19" ht="12.75">
      <c r="A231" s="469"/>
      <c r="B231" s="437" t="s">
        <v>326</v>
      </c>
      <c r="C231" s="881">
        <v>0.7819</v>
      </c>
      <c r="D231" s="881">
        <v>0.7583</v>
      </c>
      <c r="E231" s="881">
        <v>0.8522</v>
      </c>
      <c r="F231" s="881">
        <v>0.729</v>
      </c>
      <c r="G231" s="881">
        <v>0.8323</v>
      </c>
      <c r="I231" s="468">
        <f>+ROUND(C231,4)</f>
        <v>0.7819</v>
      </c>
      <c r="J231" s="468">
        <f>+ROUND(D231,4)</f>
        <v>0.7583</v>
      </c>
      <c r="K231" s="468">
        <f>+ROUND(E231,4)</f>
        <v>0.8522</v>
      </c>
      <c r="L231" s="468">
        <f>+ROUND(F231,4)</f>
        <v>0.729</v>
      </c>
      <c r="M231" s="468">
        <f>+ROUND(G231,4)</f>
        <v>0.8323</v>
      </c>
      <c r="O231" s="468">
        <f>+C231*$N$215</f>
        <v>0.7938630700000001</v>
      </c>
      <c r="P231" s="468">
        <f>+D231*$N$215</f>
        <v>0.76990199</v>
      </c>
      <c r="Q231" s="468">
        <f>+E231*$N$215</f>
        <v>0.86523866</v>
      </c>
      <c r="R231" s="468">
        <f>+F231*$N$215</f>
        <v>0.7401537</v>
      </c>
      <c r="S231" s="468">
        <f>+G231*$N$215</f>
        <v>0.8450341900000001</v>
      </c>
    </row>
    <row r="232" spans="1:19" ht="25.5">
      <c r="A232" s="469"/>
      <c r="B232" s="437" t="s">
        <v>351</v>
      </c>
      <c r="C232" s="881">
        <v>0.8138</v>
      </c>
      <c r="D232" s="881">
        <v>0.8095</v>
      </c>
      <c r="E232" s="881">
        <v>0.8327</v>
      </c>
      <c r="F232" s="881">
        <v>0.792</v>
      </c>
      <c r="G232" s="881">
        <v>0.8091</v>
      </c>
      <c r="I232" s="468">
        <f>+ROUND(C232,4)</f>
        <v>0.8138</v>
      </c>
      <c r="J232" s="468">
        <f>+ROUND(D232,4)</f>
        <v>0.8095</v>
      </c>
      <c r="K232" s="468">
        <f>+ROUND(E232,4)</f>
        <v>0.8327</v>
      </c>
      <c r="L232" s="468">
        <f>+ROUND(F232,4)</f>
        <v>0.792</v>
      </c>
      <c r="M232" s="468">
        <f>+ROUND(G232,4)</f>
        <v>0.8091</v>
      </c>
      <c r="O232" s="468">
        <f>+C232*$N$215</f>
        <v>0.82625114</v>
      </c>
      <c r="P232" s="468">
        <f>+D232*$N$215</f>
        <v>0.8218853500000001</v>
      </c>
      <c r="Q232" s="468">
        <f>+E232*$N$215</f>
        <v>0.8454403100000001</v>
      </c>
      <c r="R232" s="468">
        <f>+F232*$N$215</f>
        <v>0.8041176000000001</v>
      </c>
      <c r="S232" s="468">
        <f>+G232*$N$215</f>
        <v>0.8214792300000001</v>
      </c>
    </row>
    <row r="233" spans="2:19" ht="12.75">
      <c r="B233" s="421"/>
      <c r="C233" s="421"/>
      <c r="D233" s="421"/>
      <c r="E233" s="421"/>
      <c r="F233" s="421"/>
      <c r="G233" s="421"/>
      <c r="I233" s="468"/>
      <c r="J233" s="468"/>
      <c r="K233" s="468"/>
      <c r="L233" s="468"/>
      <c r="M233" s="468"/>
      <c r="O233" s="468"/>
      <c r="P233" s="468"/>
      <c r="Q233" s="468"/>
      <c r="R233" s="468"/>
      <c r="S233" s="468"/>
    </row>
    <row r="234" spans="2:19" ht="12.75">
      <c r="B234" s="420" t="s">
        <v>380</v>
      </c>
      <c r="C234" s="421"/>
      <c r="D234" s="421"/>
      <c r="E234" s="421"/>
      <c r="F234" s="421"/>
      <c r="G234" s="421"/>
      <c r="I234" s="468"/>
      <c r="J234" s="468"/>
      <c r="K234" s="468"/>
      <c r="L234" s="468"/>
      <c r="M234" s="468"/>
      <c r="O234" s="468"/>
      <c r="P234" s="468"/>
      <c r="Q234" s="468"/>
      <c r="R234" s="468"/>
      <c r="S234" s="468"/>
    </row>
    <row r="235" spans="2:19" ht="12.75">
      <c r="B235" s="421"/>
      <c r="C235" s="421"/>
      <c r="D235" s="421"/>
      <c r="E235" s="421"/>
      <c r="F235" s="421"/>
      <c r="G235" s="421"/>
      <c r="I235" s="468"/>
      <c r="J235" s="468"/>
      <c r="K235" s="468"/>
      <c r="L235" s="468"/>
      <c r="M235" s="468"/>
      <c r="O235" s="468"/>
      <c r="P235" s="468"/>
      <c r="Q235" s="468"/>
      <c r="R235" s="468"/>
      <c r="S235" s="468"/>
    </row>
    <row r="236" spans="1:19" ht="12.75">
      <c r="A236" s="469"/>
      <c r="B236" s="374"/>
      <c r="C236" s="428" t="s">
        <v>349</v>
      </c>
      <c r="D236" s="428" t="s">
        <v>331</v>
      </c>
      <c r="E236" s="428" t="s">
        <v>336</v>
      </c>
      <c r="F236" s="428" t="s">
        <v>331</v>
      </c>
      <c r="G236" s="429" t="s">
        <v>332</v>
      </c>
      <c r="I236" s="468"/>
      <c r="J236" s="468"/>
      <c r="K236" s="468"/>
      <c r="L236" s="468"/>
      <c r="M236" s="468"/>
      <c r="O236" s="468"/>
      <c r="P236" s="468"/>
      <c r="Q236" s="468"/>
      <c r="R236" s="468"/>
      <c r="S236" s="468"/>
    </row>
    <row r="237" spans="1:19" ht="12.75">
      <c r="A237" s="469"/>
      <c r="B237" s="424" t="s">
        <v>319</v>
      </c>
      <c r="C237" s="425"/>
      <c r="D237" s="425" t="s">
        <v>335</v>
      </c>
      <c r="E237" s="425"/>
      <c r="F237" s="425" t="s">
        <v>337</v>
      </c>
      <c r="G237" s="424" t="s">
        <v>338</v>
      </c>
      <c r="I237" s="468"/>
      <c r="J237" s="468"/>
      <c r="K237" s="468"/>
      <c r="L237" s="468"/>
      <c r="M237" s="468"/>
      <c r="O237" s="468"/>
      <c r="P237" s="468"/>
      <c r="Q237" s="468"/>
      <c r="R237" s="468"/>
      <c r="S237" s="468"/>
    </row>
    <row r="238" spans="1:19" ht="12.75">
      <c r="A238" s="469"/>
      <c r="B238" s="426"/>
      <c r="C238" s="427"/>
      <c r="D238" s="427"/>
      <c r="E238" s="427"/>
      <c r="F238" s="427" t="s">
        <v>338</v>
      </c>
      <c r="G238" s="426"/>
      <c r="I238" s="468"/>
      <c r="J238" s="468"/>
      <c r="K238" s="468"/>
      <c r="L238" s="468"/>
      <c r="M238" s="468"/>
      <c r="O238" s="468"/>
      <c r="P238" s="468"/>
      <c r="Q238" s="468"/>
      <c r="R238" s="468"/>
      <c r="S238" s="468"/>
    </row>
    <row r="239" spans="1:19" ht="12.75">
      <c r="A239" s="469"/>
      <c r="B239" s="430" t="s">
        <v>321</v>
      </c>
      <c r="C239" s="881">
        <v>0.9747</v>
      </c>
      <c r="D239" s="881">
        <v>0.9729</v>
      </c>
      <c r="E239" s="881">
        <v>0.9754</v>
      </c>
      <c r="F239" s="881">
        <v>0.9689</v>
      </c>
      <c r="G239" s="881">
        <v>0.9716</v>
      </c>
      <c r="I239" s="468">
        <f>+ROUND(C239,4)</f>
        <v>0.9747</v>
      </c>
      <c r="J239" s="468">
        <f>+ROUND(D239,4)</f>
        <v>0.9729</v>
      </c>
      <c r="K239" s="468">
        <f>+ROUND(E239,4)</f>
        <v>0.9754</v>
      </c>
      <c r="L239" s="468">
        <f>+ROUND(F239,4)</f>
        <v>0.9689</v>
      </c>
      <c r="M239" s="468">
        <f>+ROUND(G239,4)</f>
        <v>0.9716</v>
      </c>
      <c r="O239" s="468">
        <f>+C239*$N$215</f>
        <v>0.9896129100000001</v>
      </c>
      <c r="P239" s="468">
        <f>+D239*$N$215</f>
        <v>0.9877853700000001</v>
      </c>
      <c r="Q239" s="468">
        <f>+E239*$N$215</f>
        <v>0.9903236200000002</v>
      </c>
      <c r="R239" s="468">
        <f>+F239*$N$215</f>
        <v>0.9837241700000001</v>
      </c>
      <c r="S239" s="468">
        <f>+G239*$N$215</f>
        <v>0.9864654800000001</v>
      </c>
    </row>
    <row r="240" spans="1:19" ht="12.75">
      <c r="A240" s="469"/>
      <c r="B240" s="430" t="s">
        <v>322</v>
      </c>
      <c r="C240" s="881">
        <v>0.9735</v>
      </c>
      <c r="D240" s="881">
        <v>0.9728</v>
      </c>
      <c r="E240" s="881">
        <v>0.9741</v>
      </c>
      <c r="F240" s="881">
        <v>0.9681</v>
      </c>
      <c r="G240" s="881">
        <v>0.9696</v>
      </c>
      <c r="I240" s="468">
        <f>+ROUND(C240,4)</f>
        <v>0.9735</v>
      </c>
      <c r="J240" s="468">
        <f>+ROUND(D240,4)</f>
        <v>0.9728</v>
      </c>
      <c r="K240" s="468">
        <f>+ROUND(E240,4)</f>
        <v>0.9741</v>
      </c>
      <c r="L240" s="468">
        <f>+ROUND(F240,4)</f>
        <v>0.9681</v>
      </c>
      <c r="M240" s="468">
        <f>+ROUND(G240,4)</f>
        <v>0.9696</v>
      </c>
      <c r="O240" s="468">
        <f>+C240*$N$215</f>
        <v>0.9883945500000001</v>
      </c>
      <c r="P240" s="468">
        <f>+D240*$N$215</f>
        <v>0.9876838400000001</v>
      </c>
      <c r="Q240" s="468">
        <f>+E240*$N$215</f>
        <v>0.9890037300000001</v>
      </c>
      <c r="R240" s="468">
        <f>+F240*$N$215</f>
        <v>0.9829119300000001</v>
      </c>
      <c r="S240" s="468">
        <f>+G240*$N$215</f>
        <v>0.9844348800000001</v>
      </c>
    </row>
    <row r="241" spans="1:19" ht="12.75">
      <c r="A241" s="469"/>
      <c r="B241" s="430" t="s">
        <v>324</v>
      </c>
      <c r="C241" s="881">
        <v>0.968</v>
      </c>
      <c r="D241" s="881">
        <v>0.9671</v>
      </c>
      <c r="E241" s="881">
        <v>0.9703</v>
      </c>
      <c r="F241" s="881">
        <v>0.9628</v>
      </c>
      <c r="G241" s="881">
        <v>0.9659</v>
      </c>
      <c r="I241" s="468">
        <f>+ROUND(C241,4)</f>
        <v>0.968</v>
      </c>
      <c r="J241" s="468">
        <f>+ROUND(D241,4)</f>
        <v>0.9671</v>
      </c>
      <c r="K241" s="468">
        <f>+ROUND(E241,4)</f>
        <v>0.9703</v>
      </c>
      <c r="L241" s="468">
        <f>+ROUND(F241,4)</f>
        <v>0.9628</v>
      </c>
      <c r="M241" s="468">
        <f>+ROUND(G241,4)</f>
        <v>0.9659</v>
      </c>
      <c r="O241" s="468">
        <f>+C241*$N$215</f>
        <v>0.9828104000000001</v>
      </c>
      <c r="P241" s="468">
        <f>+D241*$N$215</f>
        <v>0.98189663</v>
      </c>
      <c r="Q241" s="468">
        <f>+E241*$N$215</f>
        <v>0.9851455900000001</v>
      </c>
      <c r="R241" s="468">
        <f>+F241*$N$215</f>
        <v>0.9775308400000001</v>
      </c>
      <c r="S241" s="468">
        <f>+G241*$N$215</f>
        <v>0.9806782700000001</v>
      </c>
    </row>
    <row r="242" spans="1:19" ht="12.75">
      <c r="A242" s="469"/>
      <c r="B242" s="430" t="s">
        <v>326</v>
      </c>
      <c r="C242" s="881">
        <v>0.8544</v>
      </c>
      <c r="D242" s="881">
        <v>0.8491</v>
      </c>
      <c r="E242" s="881">
        <v>0.8588</v>
      </c>
      <c r="F242" s="881">
        <v>0.8273</v>
      </c>
      <c r="G242" s="881">
        <v>0.8384</v>
      </c>
      <c r="I242" s="468">
        <f>+ROUND(C242,4)</f>
        <v>0.8544</v>
      </c>
      <c r="J242" s="468">
        <f>+ROUND(D242,4)</f>
        <v>0.8491</v>
      </c>
      <c r="K242" s="468">
        <f>+ROUND(E242,4)</f>
        <v>0.8588</v>
      </c>
      <c r="L242" s="468">
        <f>+ROUND(F242,4)</f>
        <v>0.8273</v>
      </c>
      <c r="M242" s="468">
        <f>+ROUND(G242,4)</f>
        <v>0.8384</v>
      </c>
      <c r="O242" s="468">
        <f>+C242*$N$215</f>
        <v>0.8674723200000001</v>
      </c>
      <c r="P242" s="468">
        <f>+D242*$N$215</f>
        <v>0.8620912300000001</v>
      </c>
      <c r="Q242" s="468">
        <f>+E242*$N$215</f>
        <v>0.8719396400000001</v>
      </c>
      <c r="R242" s="468">
        <f>+F242*$N$215</f>
        <v>0.8399576900000001</v>
      </c>
      <c r="S242" s="468">
        <f>+G242*$N$215</f>
        <v>0.8512275200000001</v>
      </c>
    </row>
    <row r="243" spans="2:19" ht="12.75">
      <c r="B243" s="421"/>
      <c r="C243" s="421"/>
      <c r="D243" s="421"/>
      <c r="E243" s="421"/>
      <c r="F243" s="421"/>
      <c r="G243" s="421"/>
      <c r="I243" s="468"/>
      <c r="J243" s="468"/>
      <c r="K243" s="468"/>
      <c r="L243" s="468"/>
      <c r="M243" s="468"/>
      <c r="O243" s="468"/>
      <c r="P243" s="468"/>
      <c r="Q243" s="468"/>
      <c r="R243" s="468"/>
      <c r="S243" s="468"/>
    </row>
    <row r="244" spans="2:19" ht="12.75">
      <c r="B244" s="420" t="s">
        <v>381</v>
      </c>
      <c r="C244" s="421"/>
      <c r="D244" s="421"/>
      <c r="E244" s="421"/>
      <c r="F244" s="421"/>
      <c r="G244" s="421"/>
      <c r="I244" s="468"/>
      <c r="J244" s="468"/>
      <c r="K244" s="468"/>
      <c r="L244" s="468"/>
      <c r="M244" s="468"/>
      <c r="O244" s="468"/>
      <c r="P244" s="468"/>
      <c r="Q244" s="468"/>
      <c r="R244" s="468"/>
      <c r="S244" s="468"/>
    </row>
    <row r="245" spans="2:19" ht="12.75">
      <c r="B245" s="421"/>
      <c r="C245" s="421"/>
      <c r="D245" s="421"/>
      <c r="E245" s="421"/>
      <c r="F245" s="421"/>
      <c r="G245" s="421"/>
      <c r="I245" s="468"/>
      <c r="J245" s="468"/>
      <c r="K245" s="468"/>
      <c r="L245" s="468"/>
      <c r="M245" s="468"/>
      <c r="O245" s="468"/>
      <c r="P245" s="468"/>
      <c r="Q245" s="468"/>
      <c r="R245" s="468"/>
      <c r="S245" s="468"/>
    </row>
    <row r="246" spans="1:19" ht="12.75">
      <c r="A246" s="469"/>
      <c r="B246" s="374"/>
      <c r="C246" s="428" t="s">
        <v>349</v>
      </c>
      <c r="D246" s="428" t="s">
        <v>331</v>
      </c>
      <c r="E246" s="428" t="s">
        <v>336</v>
      </c>
      <c r="F246" s="428" t="s">
        <v>331</v>
      </c>
      <c r="G246" s="429" t="s">
        <v>332</v>
      </c>
      <c r="I246" s="468"/>
      <c r="J246" s="468"/>
      <c r="K246" s="468"/>
      <c r="L246" s="468"/>
      <c r="M246" s="468"/>
      <c r="O246" s="468"/>
      <c r="P246" s="468"/>
      <c r="Q246" s="468"/>
      <c r="R246" s="468"/>
      <c r="S246" s="468"/>
    </row>
    <row r="247" spans="1:19" ht="12.75">
      <c r="A247" s="469"/>
      <c r="B247" s="424" t="s">
        <v>319</v>
      </c>
      <c r="C247" s="425"/>
      <c r="D247" s="425" t="s">
        <v>335</v>
      </c>
      <c r="E247" s="425"/>
      <c r="F247" s="425" t="s">
        <v>337</v>
      </c>
      <c r="G247" s="424" t="s">
        <v>338</v>
      </c>
      <c r="I247" s="468"/>
      <c r="J247" s="468"/>
      <c r="K247" s="468"/>
      <c r="L247" s="468"/>
      <c r="M247" s="468"/>
      <c r="O247" s="468"/>
      <c r="P247" s="468"/>
      <c r="Q247" s="468"/>
      <c r="R247" s="468"/>
      <c r="S247" s="468"/>
    </row>
    <row r="248" spans="1:19" ht="12.75">
      <c r="A248" s="469"/>
      <c r="B248" s="426"/>
      <c r="C248" s="427"/>
      <c r="D248" s="427"/>
      <c r="E248" s="427"/>
      <c r="F248" s="427" t="s">
        <v>338</v>
      </c>
      <c r="G248" s="426"/>
      <c r="I248" s="468"/>
      <c r="J248" s="468"/>
      <c r="K248" s="468"/>
      <c r="L248" s="468"/>
      <c r="M248" s="468"/>
      <c r="O248" s="468"/>
      <c r="P248" s="468"/>
      <c r="Q248" s="468"/>
      <c r="R248" s="468"/>
      <c r="S248" s="468"/>
    </row>
    <row r="249" spans="1:19" ht="12.75">
      <c r="A249" s="469"/>
      <c r="B249" s="431" t="s">
        <v>321</v>
      </c>
      <c r="C249" s="882">
        <v>0.9757</v>
      </c>
      <c r="D249" s="882">
        <v>0.9757</v>
      </c>
      <c r="E249" s="882">
        <v>0.9779</v>
      </c>
      <c r="F249" s="882">
        <v>0.9721</v>
      </c>
      <c r="G249" s="882">
        <v>0.9746</v>
      </c>
      <c r="I249" s="468">
        <f>+ROUND(C249,4)</f>
        <v>0.9757</v>
      </c>
      <c r="J249" s="468">
        <f>+ROUND(D249,4)</f>
        <v>0.9757</v>
      </c>
      <c r="K249" s="468">
        <f>+ROUND(E249,4)</f>
        <v>0.9779</v>
      </c>
      <c r="L249" s="468">
        <f>+ROUND(F249,4)</f>
        <v>0.9721</v>
      </c>
      <c r="M249" s="468">
        <f>+ROUND(G249,4)</f>
        <v>0.9746</v>
      </c>
      <c r="O249" s="468">
        <f>+C249*$N$215</f>
        <v>0.9906282100000001</v>
      </c>
      <c r="P249" s="468">
        <f>+D249*$N$215</f>
        <v>0.9906282100000001</v>
      </c>
      <c r="Q249" s="468">
        <f>+E249*$N$215</f>
        <v>0.99286187</v>
      </c>
      <c r="R249" s="468">
        <f>+F249*$N$215</f>
        <v>0.9869731300000001</v>
      </c>
      <c r="S249" s="468">
        <f>+G249*$N$215</f>
        <v>0.9895113800000002</v>
      </c>
    </row>
    <row r="250" spans="1:19" ht="12.75">
      <c r="A250" s="469"/>
      <c r="B250" s="430" t="s">
        <v>324</v>
      </c>
      <c r="C250" s="881">
        <v>0.9712</v>
      </c>
      <c r="D250" s="881">
        <v>0.9712</v>
      </c>
      <c r="E250" s="881">
        <v>0.9733</v>
      </c>
      <c r="F250" s="881">
        <v>0.9668</v>
      </c>
      <c r="G250" s="881">
        <v>0.9696</v>
      </c>
      <c r="I250" s="468">
        <f>+ROUND(C250,4)</f>
        <v>0.9712</v>
      </c>
      <c r="J250" s="468">
        <f>+ROUND(D250,4)</f>
        <v>0.9712</v>
      </c>
      <c r="K250" s="468">
        <f>+ROUND(E250,4)</f>
        <v>0.9733</v>
      </c>
      <c r="L250" s="468">
        <f>+ROUND(F250,4)</f>
        <v>0.9668</v>
      </c>
      <c r="M250" s="468">
        <f>+ROUND(G250,4)</f>
        <v>0.9696</v>
      </c>
      <c r="O250" s="468">
        <f>+C250*$N$215</f>
        <v>0.98605936</v>
      </c>
      <c r="P250" s="468">
        <f>+D250*$N$215</f>
        <v>0.98605936</v>
      </c>
      <c r="Q250" s="468">
        <f>+E250*$N$215</f>
        <v>0.9881914900000002</v>
      </c>
      <c r="R250" s="468">
        <f>+F250*$N$215</f>
        <v>0.9815920400000001</v>
      </c>
      <c r="S250" s="468">
        <f>+G250*$N$215</f>
        <v>0.9844348800000001</v>
      </c>
    </row>
    <row r="251" spans="1:19" ht="12.75">
      <c r="A251" s="469"/>
      <c r="B251" s="430" t="s">
        <v>326</v>
      </c>
      <c r="C251" s="881">
        <v>0.8897</v>
      </c>
      <c r="D251" s="881">
        <v>0.8834</v>
      </c>
      <c r="E251" s="881">
        <v>0.8961</v>
      </c>
      <c r="F251" s="881">
        <v>0.866</v>
      </c>
      <c r="G251" s="881">
        <v>0.8813</v>
      </c>
      <c r="I251" s="468">
        <f>+ROUND(C251,4)</f>
        <v>0.8897</v>
      </c>
      <c r="J251" s="468">
        <f>+ROUND(D251,4)</f>
        <v>0.8834</v>
      </c>
      <c r="K251" s="468">
        <f>+ROUND(E251,4)</f>
        <v>0.8961</v>
      </c>
      <c r="L251" s="468">
        <f>+ROUND(F251,4)</f>
        <v>0.866</v>
      </c>
      <c r="M251" s="468">
        <f>+ROUND(G251,4)</f>
        <v>0.8813</v>
      </c>
      <c r="O251" s="468">
        <f>+C251*$N$215</f>
        <v>0.9033124100000002</v>
      </c>
      <c r="P251" s="468">
        <f>+D251*$N$215</f>
        <v>0.89691602</v>
      </c>
      <c r="Q251" s="468">
        <f>+E251*$N$215</f>
        <v>0.9098103300000001</v>
      </c>
      <c r="R251" s="468">
        <f>+F251*$N$215</f>
        <v>0.8792498000000001</v>
      </c>
      <c r="S251" s="468">
        <f>+G251*$N$215</f>
        <v>0.89478389</v>
      </c>
    </row>
    <row r="252" spans="2:19" ht="12.75">
      <c r="B252" s="421"/>
      <c r="C252" s="421"/>
      <c r="D252" s="421"/>
      <c r="E252" s="421"/>
      <c r="F252" s="421"/>
      <c r="G252" s="421"/>
      <c r="I252" s="468"/>
      <c r="J252" s="468"/>
      <c r="K252" s="468"/>
      <c r="L252" s="468"/>
      <c r="M252" s="468"/>
      <c r="O252" s="468"/>
      <c r="P252" s="468"/>
      <c r="Q252" s="468"/>
      <c r="R252" s="468"/>
      <c r="S252" s="468"/>
    </row>
    <row r="253" spans="2:19" ht="12.75">
      <c r="B253" s="420" t="s">
        <v>382</v>
      </c>
      <c r="C253" s="421"/>
      <c r="D253" s="421"/>
      <c r="E253" s="421"/>
      <c r="F253" s="421"/>
      <c r="G253" s="421"/>
      <c r="I253" s="468"/>
      <c r="J253" s="468"/>
      <c r="K253" s="468"/>
      <c r="L253" s="468"/>
      <c r="M253" s="468"/>
      <c r="O253" s="468"/>
      <c r="P253" s="468"/>
      <c r="Q253" s="468"/>
      <c r="R253" s="468"/>
      <c r="S253" s="468"/>
    </row>
    <row r="254" spans="2:19" ht="12.75">
      <c r="B254" s="421"/>
      <c r="C254" s="421"/>
      <c r="D254" s="421"/>
      <c r="E254" s="421"/>
      <c r="F254" s="421"/>
      <c r="G254" s="421"/>
      <c r="I254" s="468"/>
      <c r="J254" s="468"/>
      <c r="K254" s="468"/>
      <c r="L254" s="468"/>
      <c r="M254" s="468"/>
      <c r="O254" s="468"/>
      <c r="P254" s="468"/>
      <c r="Q254" s="468"/>
      <c r="R254" s="468"/>
      <c r="S254" s="468"/>
    </row>
    <row r="255" spans="1:19" ht="12.75">
      <c r="A255" s="469"/>
      <c r="B255" s="374"/>
      <c r="C255" s="432" t="s">
        <v>349</v>
      </c>
      <c r="D255" s="428" t="s">
        <v>331</v>
      </c>
      <c r="E255" s="428" t="s">
        <v>336</v>
      </c>
      <c r="F255" s="428" t="s">
        <v>331</v>
      </c>
      <c r="G255" s="429" t="s">
        <v>332</v>
      </c>
      <c r="I255" s="468"/>
      <c r="J255" s="468"/>
      <c r="K255" s="468"/>
      <c r="L255" s="468"/>
      <c r="M255" s="468"/>
      <c r="O255" s="468"/>
      <c r="P255" s="468"/>
      <c r="Q255" s="468"/>
      <c r="R255" s="468"/>
      <c r="S255" s="468"/>
    </row>
    <row r="256" spans="1:19" ht="12.75">
      <c r="A256" s="469"/>
      <c r="B256" s="424" t="s">
        <v>319</v>
      </c>
      <c r="C256" s="433"/>
      <c r="D256" s="425" t="s">
        <v>335</v>
      </c>
      <c r="E256" s="425"/>
      <c r="F256" s="425" t="s">
        <v>337</v>
      </c>
      <c r="G256" s="424" t="s">
        <v>338</v>
      </c>
      <c r="I256" s="468"/>
      <c r="J256" s="468"/>
      <c r="K256" s="468"/>
      <c r="L256" s="468"/>
      <c r="M256" s="468"/>
      <c r="O256" s="468"/>
      <c r="P256" s="468"/>
      <c r="Q256" s="468"/>
      <c r="R256" s="468"/>
      <c r="S256" s="468"/>
    </row>
    <row r="257" spans="1:19" ht="12.75">
      <c r="A257" s="469"/>
      <c r="B257" s="426"/>
      <c r="C257" s="434"/>
      <c r="D257" s="427"/>
      <c r="E257" s="427"/>
      <c r="F257" s="427" t="s">
        <v>338</v>
      </c>
      <c r="G257" s="426"/>
      <c r="I257" s="468"/>
      <c r="J257" s="468"/>
      <c r="K257" s="468"/>
      <c r="L257" s="468"/>
      <c r="M257" s="468"/>
      <c r="O257" s="468"/>
      <c r="P257" s="468"/>
      <c r="Q257" s="468"/>
      <c r="R257" s="468"/>
      <c r="S257" s="468"/>
    </row>
    <row r="258" spans="1:19" ht="12.75">
      <c r="A258" s="469"/>
      <c r="B258" s="430" t="s">
        <v>383</v>
      </c>
      <c r="C258" s="881">
        <v>0.9987</v>
      </c>
      <c r="D258" s="881">
        <v>0.9983</v>
      </c>
      <c r="E258" s="881">
        <v>0.9983</v>
      </c>
      <c r="F258" s="881">
        <v>0.9983</v>
      </c>
      <c r="G258" s="881">
        <v>0.9987</v>
      </c>
      <c r="I258" s="468">
        <f>+ROUND(C258,4)</f>
        <v>0.9987</v>
      </c>
      <c r="J258" s="468">
        <f>+ROUND(D258,4)</f>
        <v>0.9983</v>
      </c>
      <c r="K258" s="468">
        <f>+ROUND(E258,4)</f>
        <v>0.9983</v>
      </c>
      <c r="L258" s="468">
        <f>+ROUND(F258,4)</f>
        <v>0.9983</v>
      </c>
      <c r="M258" s="468">
        <f>+ROUND(G258,4)</f>
        <v>0.9987</v>
      </c>
      <c r="O258" s="468">
        <f>+C258*$N$215</f>
        <v>1.01398011</v>
      </c>
      <c r="P258" s="468">
        <f>+D258*$N$215</f>
        <v>1.01357399</v>
      </c>
      <c r="Q258" s="468">
        <f>+E258*$N$215</f>
        <v>1.01357399</v>
      </c>
      <c r="R258" s="468">
        <f>+F258*$N$215</f>
        <v>1.01357399</v>
      </c>
      <c r="S258" s="468">
        <f>+G258*$N$215</f>
        <v>1.01398011</v>
      </c>
    </row>
    <row r="259" spans="1:19" ht="12.75">
      <c r="A259" s="469"/>
      <c r="B259" s="430" t="s">
        <v>384</v>
      </c>
      <c r="C259" s="881">
        <v>0.9992</v>
      </c>
      <c r="D259" s="881">
        <v>0.9992</v>
      </c>
      <c r="E259" s="881">
        <v>0.9994</v>
      </c>
      <c r="F259" s="881">
        <v>0.9996</v>
      </c>
      <c r="G259" s="881">
        <v>0.9992</v>
      </c>
      <c r="I259" s="468">
        <f>+ROUND(C259,4)</f>
        <v>0.9992</v>
      </c>
      <c r="J259" s="468">
        <f>+ROUND(D259,4)</f>
        <v>0.9992</v>
      </c>
      <c r="K259" s="468">
        <f>+ROUND(E259,4)</f>
        <v>0.9994</v>
      </c>
      <c r="L259" s="468">
        <f>+ROUND(F259,4)</f>
        <v>0.9996</v>
      </c>
      <c r="M259" s="468">
        <f>+ROUND(G259,4)</f>
        <v>0.9992</v>
      </c>
      <c r="O259" s="468">
        <f>+C259*$N$215</f>
        <v>1.01448776</v>
      </c>
      <c r="P259" s="468">
        <f>+D259*$N$215</f>
        <v>1.01448776</v>
      </c>
      <c r="Q259" s="468">
        <f>+E259*$N$215</f>
        <v>1.01469082</v>
      </c>
      <c r="R259" s="468">
        <f>+F259*$N$215</f>
        <v>1.01489388</v>
      </c>
      <c r="S259" s="468">
        <f>+G259*$N$215</f>
        <v>1.01448776</v>
      </c>
    </row>
  </sheetData>
  <sheetProtection/>
  <mergeCells count="11">
    <mergeCell ref="B146:H146"/>
    <mergeCell ref="B169:H169"/>
    <mergeCell ref="B193:J193"/>
    <mergeCell ref="B199:B206"/>
    <mergeCell ref="E109:G109"/>
    <mergeCell ref="E98:H98"/>
    <mergeCell ref="B3:H3"/>
    <mergeCell ref="B74:H74"/>
    <mergeCell ref="B75:H75"/>
    <mergeCell ref="E76:H76"/>
    <mergeCell ref="E87:H8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N43" sqref="N42:N43"/>
    </sheetView>
  </sheetViews>
  <sheetFormatPr defaultColWidth="11.421875" defaultRowHeight="12.75"/>
  <cols>
    <col min="1" max="1" width="90.7109375" style="0" customWidth="1"/>
    <col min="2" max="2" width="15.140625" style="0" customWidth="1"/>
    <col min="3" max="3" width="2.7109375" style="0" customWidth="1"/>
    <col min="4" max="6" width="14.7109375" style="0" hidden="1" customWidth="1"/>
    <col min="7" max="8" width="14.421875" style="0" hidden="1" customWidth="1"/>
    <col min="9" max="10" width="14.8515625" style="0" hidden="1" customWidth="1"/>
    <col min="11" max="11" width="14.140625" style="0" hidden="1" customWidth="1"/>
    <col min="12" max="12" width="14.57421875" style="0" hidden="1" customWidth="1"/>
    <col min="13" max="13" width="14.140625" style="0" hidden="1" customWidth="1"/>
    <col min="14" max="15" width="14.140625" style="0" bestFit="1" customWidth="1"/>
    <col min="16" max="17" width="14.7109375" style="0" customWidth="1"/>
    <col min="18" max="18" width="14.421875" style="0" bestFit="1" customWidth="1"/>
    <col min="19" max="21" width="14.8515625" style="0" bestFit="1" customWidth="1"/>
    <col min="22" max="22" width="14.140625" style="0" bestFit="1" customWidth="1"/>
    <col min="23" max="23" width="14.57421875" style="0" bestFit="1" customWidth="1"/>
    <col min="24" max="24" width="14.140625" style="0" bestFit="1" customWidth="1"/>
    <col min="25" max="25" width="14.421875" style="0" bestFit="1" customWidth="1"/>
    <col min="26" max="26" width="14.140625" style="0" bestFit="1" customWidth="1"/>
    <col min="27" max="28" width="14.7109375" style="0" customWidth="1"/>
    <col min="29" max="29" width="14.421875" style="0" bestFit="1" customWidth="1"/>
    <col min="30" max="32" width="14.8515625" style="0" bestFit="1" customWidth="1"/>
    <col min="33" max="33" width="14.140625" style="0" bestFit="1" customWidth="1"/>
    <col min="34" max="34" width="14.57421875" style="0" bestFit="1" customWidth="1"/>
    <col min="35" max="37" width="14.140625" style="0" bestFit="1" customWidth="1"/>
    <col min="38" max="39" width="14.7109375" style="0" customWidth="1"/>
    <col min="40" max="40" width="14.421875" style="0" bestFit="1" customWidth="1"/>
    <col min="41" max="41" width="14.140625" style="0" bestFit="1" customWidth="1"/>
    <col min="42" max="43" width="14.8515625" style="0" bestFit="1" customWidth="1"/>
    <col min="44" max="44" width="14.140625" style="0" bestFit="1" customWidth="1"/>
    <col min="45" max="45" width="14.57421875" style="0" bestFit="1" customWidth="1"/>
    <col min="46" max="48" width="14.140625" style="0" bestFit="1" customWidth="1"/>
  </cols>
  <sheetData>
    <row r="1" spans="1:3" ht="22.5">
      <c r="A1" s="444" t="s">
        <v>386</v>
      </c>
      <c r="B1" s="445"/>
      <c r="C1" s="446"/>
    </row>
    <row r="2" spans="1:3" ht="15.75">
      <c r="A2" s="447" t="str">
        <f>CONCATENATE("Vigente a partir del ",TEXT(Fecha,"dd/mmm/yyyy"))</f>
        <v>Vigente a partir del 04/Nov/2022</v>
      </c>
      <c r="B2" s="448"/>
      <c r="C2" s="448"/>
    </row>
    <row r="3" spans="1:48" ht="18">
      <c r="A3" s="449" t="s">
        <v>50</v>
      </c>
      <c r="B3" s="450">
        <v>44869</v>
      </c>
      <c r="C3" s="451"/>
      <c r="D3" s="452">
        <v>43709</v>
      </c>
      <c r="E3" s="452">
        <v>43712</v>
      </c>
      <c r="F3" s="452">
        <v>43742</v>
      </c>
      <c r="G3" s="452">
        <v>43773</v>
      </c>
      <c r="H3" s="452">
        <v>44016</v>
      </c>
      <c r="I3" s="452">
        <v>44139</v>
      </c>
      <c r="J3" s="452">
        <v>44231</v>
      </c>
      <c r="K3" s="452">
        <v>44290</v>
      </c>
      <c r="L3" s="452">
        <v>44351</v>
      </c>
      <c r="M3" s="452">
        <v>44381</v>
      </c>
      <c r="N3" s="452">
        <v>44412</v>
      </c>
      <c r="O3" s="452">
        <v>44443</v>
      </c>
      <c r="P3" s="452">
        <v>44473</v>
      </c>
      <c r="Q3" s="452">
        <v>44534</v>
      </c>
      <c r="R3" s="452">
        <v>44596</v>
      </c>
      <c r="S3" s="452">
        <v>44655</v>
      </c>
      <c r="T3" s="452">
        <v>44685</v>
      </c>
      <c r="U3" s="452">
        <v>44716</v>
      </c>
      <c r="V3" s="452">
        <v>44746</v>
      </c>
      <c r="W3" s="452">
        <v>44777</v>
      </c>
      <c r="X3" s="452">
        <v>44838</v>
      </c>
      <c r="Y3" s="452">
        <v>44869</v>
      </c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</row>
    <row r="4" spans="1:48" ht="18">
      <c r="A4" s="453" t="s">
        <v>410</v>
      </c>
      <c r="B4" s="454"/>
      <c r="C4" s="455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</row>
    <row r="5" spans="1:48" ht="18">
      <c r="A5" s="456" t="s">
        <v>387</v>
      </c>
      <c r="B5" s="457"/>
      <c r="C5" s="455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</row>
    <row r="6" spans="1:48" ht="18">
      <c r="A6" s="458" t="s">
        <v>388</v>
      </c>
      <c r="B6" s="457"/>
      <c r="C6" s="455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</row>
    <row r="7" spans="1:48" ht="18">
      <c r="A7" s="459" t="s">
        <v>389</v>
      </c>
      <c r="B7" s="460">
        <f>HLOOKUP(Fecha,$D$3:$AE$20,5,FALSE)</f>
        <v>1.2333</v>
      </c>
      <c r="C7" s="455"/>
      <c r="D7" s="461">
        <v>1</v>
      </c>
      <c r="E7" s="461">
        <v>0.9987</v>
      </c>
      <c r="F7" s="461">
        <v>0.9952</v>
      </c>
      <c r="G7" s="927">
        <v>0.9876</v>
      </c>
      <c r="H7" s="461">
        <v>1.0195</v>
      </c>
      <c r="I7" s="461">
        <v>1.0389</v>
      </c>
      <c r="J7" s="461">
        <v>1.0535</v>
      </c>
      <c r="K7" s="461">
        <v>1.089</v>
      </c>
      <c r="L7" s="461">
        <v>1.113</v>
      </c>
      <c r="M7" s="461">
        <v>1.1313</v>
      </c>
      <c r="N7" s="461">
        <v>1.1768</v>
      </c>
      <c r="O7" s="461">
        <v>1.1947</v>
      </c>
      <c r="P7" s="461">
        <v>1.2124</v>
      </c>
      <c r="Q7" s="461">
        <v>1.2085</v>
      </c>
      <c r="R7" s="461">
        <v>1.1667</v>
      </c>
      <c r="S7" s="461">
        <v>1.1481</v>
      </c>
      <c r="T7" s="461">
        <v>1.1845</v>
      </c>
      <c r="U7" s="461">
        <v>1.1641</v>
      </c>
      <c r="V7" s="461">
        <v>1.1923</v>
      </c>
      <c r="W7" s="461">
        <v>1.2199</v>
      </c>
      <c r="X7" s="927">
        <v>1.2299</v>
      </c>
      <c r="Y7" s="461">
        <v>1.2333</v>
      </c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</row>
    <row r="8" spans="1:48" ht="18">
      <c r="A8" s="459" t="s">
        <v>390</v>
      </c>
      <c r="B8" s="460">
        <f>HLOOKUP(Fecha,$D$3:$AE$20,6,FALSE)</f>
        <v>1.2932</v>
      </c>
      <c r="C8" s="455"/>
      <c r="D8" s="461">
        <v>1</v>
      </c>
      <c r="E8" s="461">
        <v>0.9905</v>
      </c>
      <c r="F8" s="461">
        <v>0.9863</v>
      </c>
      <c r="G8" s="927">
        <v>0.9777</v>
      </c>
      <c r="H8" s="461">
        <v>1.004</v>
      </c>
      <c r="I8" s="461">
        <v>1.0268</v>
      </c>
      <c r="J8" s="461">
        <v>1.0472</v>
      </c>
      <c r="K8" s="461">
        <v>1.091</v>
      </c>
      <c r="L8" s="461">
        <v>1.13</v>
      </c>
      <c r="M8" s="461">
        <v>1.1572</v>
      </c>
      <c r="N8" s="461">
        <v>1.213</v>
      </c>
      <c r="O8" s="461">
        <v>1.2369</v>
      </c>
      <c r="P8" s="461">
        <v>1.261</v>
      </c>
      <c r="Q8" s="461">
        <v>1.266</v>
      </c>
      <c r="R8" s="461">
        <v>1.2264</v>
      </c>
      <c r="S8" s="461">
        <v>1.2085</v>
      </c>
      <c r="T8" s="461">
        <v>1.2513</v>
      </c>
      <c r="U8" s="461">
        <v>1.2275</v>
      </c>
      <c r="V8" s="461">
        <v>1.2585</v>
      </c>
      <c r="W8" s="461">
        <v>1.2872</v>
      </c>
      <c r="X8" s="927">
        <v>1.2932</v>
      </c>
      <c r="Y8" s="461">
        <v>1.2932</v>
      </c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</row>
    <row r="9" spans="1:48" ht="18">
      <c r="A9" s="459" t="s">
        <v>391</v>
      </c>
      <c r="B9" s="460">
        <f>HLOOKUP(Fecha,$D$3:$AE$20,7,FALSE)</f>
        <v>1.1929</v>
      </c>
      <c r="C9" s="455"/>
      <c r="D9" s="461">
        <v>1</v>
      </c>
      <c r="E9" s="461">
        <v>1.0049</v>
      </c>
      <c r="F9" s="461">
        <v>1.0014</v>
      </c>
      <c r="G9" s="927">
        <v>0.9928</v>
      </c>
      <c r="H9" s="461">
        <v>1.0384</v>
      </c>
      <c r="I9" s="461">
        <v>1.0587</v>
      </c>
      <c r="J9" s="461">
        <v>1.0689</v>
      </c>
      <c r="K9" s="461">
        <v>1.1021</v>
      </c>
      <c r="L9" s="461">
        <v>1.121</v>
      </c>
      <c r="M9" s="461">
        <v>1.1338</v>
      </c>
      <c r="N9" s="461">
        <v>1.1803</v>
      </c>
      <c r="O9" s="461">
        <v>1.1941</v>
      </c>
      <c r="P9" s="461">
        <v>1.2086</v>
      </c>
      <c r="Q9" s="461">
        <v>1.1939</v>
      </c>
      <c r="R9" s="461">
        <v>1.1401</v>
      </c>
      <c r="S9" s="461">
        <v>1.1088</v>
      </c>
      <c r="T9" s="461">
        <v>1.1451</v>
      </c>
      <c r="U9" s="461">
        <v>1.1163</v>
      </c>
      <c r="V9" s="461">
        <v>1.1473</v>
      </c>
      <c r="W9" s="461">
        <v>1.1747</v>
      </c>
      <c r="X9" s="927">
        <v>1.189</v>
      </c>
      <c r="Y9" s="461">
        <v>1.1929</v>
      </c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</row>
    <row r="10" spans="1:48" ht="18">
      <c r="A10" s="459" t="s">
        <v>392</v>
      </c>
      <c r="B10" s="460">
        <f>HLOOKUP(Fecha,$D$3:$AE$20,8,FALSE)</f>
        <v>1.3254</v>
      </c>
      <c r="C10" s="455"/>
      <c r="D10" s="461">
        <v>1</v>
      </c>
      <c r="E10" s="461">
        <v>0.989</v>
      </c>
      <c r="F10" s="461">
        <v>0.9857</v>
      </c>
      <c r="G10" s="927">
        <v>0.9799</v>
      </c>
      <c r="H10" s="461">
        <v>0.991</v>
      </c>
      <c r="I10" s="461">
        <v>1.0144</v>
      </c>
      <c r="J10" s="461">
        <v>1.0405</v>
      </c>
      <c r="K10" s="461">
        <v>1.0867</v>
      </c>
      <c r="L10" s="461">
        <v>1.1297</v>
      </c>
      <c r="M10" s="461">
        <v>1.1617</v>
      </c>
      <c r="N10" s="461">
        <v>1.2134</v>
      </c>
      <c r="O10" s="461">
        <v>1.241</v>
      </c>
      <c r="P10" s="461">
        <v>1.2661</v>
      </c>
      <c r="Q10" s="461">
        <v>1.2803</v>
      </c>
      <c r="R10" s="461">
        <v>1.255</v>
      </c>
      <c r="S10" s="461">
        <v>1.2501</v>
      </c>
      <c r="T10" s="461">
        <v>1.2875</v>
      </c>
      <c r="U10" s="461">
        <v>1.2744</v>
      </c>
      <c r="V10" s="461">
        <v>1.2977</v>
      </c>
      <c r="W10" s="461">
        <v>1.3251</v>
      </c>
      <c r="X10" s="927">
        <v>1.3246</v>
      </c>
      <c r="Y10" s="461">
        <v>1.3254</v>
      </c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</row>
    <row r="11" spans="1:48" ht="18">
      <c r="A11" s="459" t="s">
        <v>393</v>
      </c>
      <c r="B11" s="460">
        <f>HLOOKUP(Fecha,$D$3:$AE$20,9,FALSE)</f>
        <v>1.2475</v>
      </c>
      <c r="C11" s="455"/>
      <c r="D11" s="461">
        <v>1</v>
      </c>
      <c r="E11" s="461">
        <v>0.9996</v>
      </c>
      <c r="F11" s="461">
        <v>0.9995</v>
      </c>
      <c r="G11" s="927">
        <v>1.0007</v>
      </c>
      <c r="H11" s="461">
        <v>0.9918</v>
      </c>
      <c r="I11" s="461">
        <v>1.0042</v>
      </c>
      <c r="J11" s="461">
        <v>1.0252</v>
      </c>
      <c r="K11" s="461">
        <v>1.0528</v>
      </c>
      <c r="L11" s="461">
        <v>1.0642</v>
      </c>
      <c r="M11" s="461">
        <v>1.0836</v>
      </c>
      <c r="N11" s="461">
        <v>1.1</v>
      </c>
      <c r="O11" s="461">
        <v>1.1203</v>
      </c>
      <c r="P11" s="461">
        <v>1.1334</v>
      </c>
      <c r="Q11" s="461">
        <v>1.148</v>
      </c>
      <c r="R11" s="461">
        <v>1.1491</v>
      </c>
      <c r="S11" s="461">
        <v>1.1749</v>
      </c>
      <c r="T11" s="461">
        <v>1.1901</v>
      </c>
      <c r="U11" s="461">
        <v>1.2102</v>
      </c>
      <c r="V11" s="461">
        <v>1.2148</v>
      </c>
      <c r="W11" s="461">
        <v>1.2386</v>
      </c>
      <c r="X11" s="927">
        <v>1.2374</v>
      </c>
      <c r="Y11" s="461">
        <v>1.2475</v>
      </c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</row>
    <row r="12" spans="1:48" ht="18">
      <c r="A12" s="458" t="s">
        <v>394</v>
      </c>
      <c r="B12" s="460"/>
      <c r="C12" s="455"/>
      <c r="D12" s="461"/>
      <c r="E12" s="461"/>
      <c r="F12" s="461"/>
      <c r="G12" s="461"/>
      <c r="H12" s="461"/>
      <c r="I12" s="461"/>
      <c r="J12" s="461"/>
      <c r="K12" s="461"/>
      <c r="L12" s="461"/>
      <c r="M12" s="461" t="s">
        <v>395</v>
      </c>
      <c r="N12" s="461" t="s">
        <v>395</v>
      </c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</row>
    <row r="13" spans="1:48" ht="18">
      <c r="A13" s="459" t="s">
        <v>389</v>
      </c>
      <c r="B13" s="460">
        <f>HLOOKUP(Fecha,$D$3:$AE$20,11,FALSE)</f>
        <v>1.2333</v>
      </c>
      <c r="C13" s="455"/>
      <c r="D13" s="461">
        <v>1</v>
      </c>
      <c r="E13" s="461">
        <v>0.9987</v>
      </c>
      <c r="F13" s="461">
        <v>0.9952</v>
      </c>
      <c r="G13" s="461">
        <v>0.9876</v>
      </c>
      <c r="H13" s="461">
        <v>1.0195</v>
      </c>
      <c r="I13" s="461">
        <v>1.0389</v>
      </c>
      <c r="J13" s="461">
        <v>1.0535</v>
      </c>
      <c r="K13" s="461">
        <v>1.089</v>
      </c>
      <c r="L13" s="461">
        <v>1.113</v>
      </c>
      <c r="M13" s="461">
        <v>1.1313</v>
      </c>
      <c r="N13" s="461">
        <v>1.1768</v>
      </c>
      <c r="O13" s="461">
        <v>1.1947</v>
      </c>
      <c r="P13" s="461">
        <v>1.2124</v>
      </c>
      <c r="Q13" s="461">
        <v>1.2085</v>
      </c>
      <c r="R13" s="461">
        <v>1.1667</v>
      </c>
      <c r="S13" s="461">
        <v>1.1481</v>
      </c>
      <c r="T13" s="461">
        <v>1.1845</v>
      </c>
      <c r="U13" s="461">
        <v>1.1641</v>
      </c>
      <c r="V13" s="461">
        <v>1.1923</v>
      </c>
      <c r="W13" s="461">
        <v>1.2199</v>
      </c>
      <c r="X13" s="461">
        <v>1.2299</v>
      </c>
      <c r="Y13" s="461">
        <v>1.2333</v>
      </c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</row>
    <row r="14" spans="1:48" ht="18">
      <c r="A14" s="458" t="s">
        <v>396</v>
      </c>
      <c r="B14" s="460"/>
      <c r="C14" s="455"/>
      <c r="D14" s="461"/>
      <c r="E14" s="461"/>
      <c r="F14" s="461"/>
      <c r="G14" s="461" t="s">
        <v>395</v>
      </c>
      <c r="H14" s="461" t="s">
        <v>395</v>
      </c>
      <c r="I14" s="461"/>
      <c r="J14" s="461"/>
      <c r="K14" s="461" t="s">
        <v>395</v>
      </c>
      <c r="L14" s="461"/>
      <c r="M14" s="461" t="s">
        <v>395</v>
      </c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 t="s">
        <v>395</v>
      </c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</row>
    <row r="15" spans="1:48" ht="18">
      <c r="A15" s="459" t="s">
        <v>389</v>
      </c>
      <c r="B15" s="460">
        <f>HLOOKUP(Fecha,$D$3:$AE$20,13,FALSE)</f>
        <v>1.4287</v>
      </c>
      <c r="C15" s="455"/>
      <c r="D15" s="461">
        <v>1</v>
      </c>
      <c r="E15" s="461">
        <v>0.9501</v>
      </c>
      <c r="F15" s="461">
        <v>0.9428</v>
      </c>
      <c r="G15" s="461">
        <v>0.9316</v>
      </c>
      <c r="H15" s="461">
        <v>0.9147</v>
      </c>
      <c r="I15" s="461">
        <v>0.9218</v>
      </c>
      <c r="J15" s="461">
        <v>0.9465</v>
      </c>
      <c r="K15" s="461">
        <v>0.9901</v>
      </c>
      <c r="L15" s="461">
        <v>1.0365</v>
      </c>
      <c r="M15" s="461">
        <v>1.0786</v>
      </c>
      <c r="N15" s="461">
        <v>1.1332</v>
      </c>
      <c r="O15" s="461">
        <v>1.1694</v>
      </c>
      <c r="P15" s="461">
        <v>1.209</v>
      </c>
      <c r="Q15" s="461">
        <v>1.2567</v>
      </c>
      <c r="R15" s="461">
        <v>1.2537</v>
      </c>
      <c r="S15" s="461">
        <v>1.2873</v>
      </c>
      <c r="T15" s="461">
        <v>1.3501</v>
      </c>
      <c r="U15" s="461">
        <v>1.3545</v>
      </c>
      <c r="V15" s="461">
        <v>1.394</v>
      </c>
      <c r="W15" s="461">
        <v>1.4297</v>
      </c>
      <c r="X15" s="461">
        <v>1.4344</v>
      </c>
      <c r="Y15" s="461">
        <v>1.4287</v>
      </c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</row>
    <row r="16" spans="1:48" ht="18">
      <c r="A16" s="456" t="s">
        <v>397</v>
      </c>
      <c r="B16" s="460"/>
      <c r="C16" s="455"/>
      <c r="D16" s="461"/>
      <c r="E16" s="461"/>
      <c r="F16" s="461"/>
      <c r="G16" s="461" t="s">
        <v>395</v>
      </c>
      <c r="H16" s="461" t="s">
        <v>395</v>
      </c>
      <c r="I16" s="461"/>
      <c r="J16" s="461"/>
      <c r="K16" s="461" t="s">
        <v>395</v>
      </c>
      <c r="L16" s="461"/>
      <c r="M16" s="461" t="s">
        <v>395</v>
      </c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 t="s">
        <v>395</v>
      </c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</row>
    <row r="17" spans="1:48" ht="18">
      <c r="A17" s="459" t="s">
        <v>389</v>
      </c>
      <c r="B17" s="460">
        <f>HLOOKUP(Fecha,$D$3:$AE$20,15,FALSE)</f>
        <v>1.2409</v>
      </c>
      <c r="C17" s="455"/>
      <c r="D17" s="461">
        <v>1</v>
      </c>
      <c r="E17" s="461">
        <v>1.0003</v>
      </c>
      <c r="F17" s="461">
        <v>0.9997</v>
      </c>
      <c r="G17" s="461">
        <v>0.9998</v>
      </c>
      <c r="H17" s="461">
        <v>0.9974</v>
      </c>
      <c r="I17" s="461">
        <v>1.0107</v>
      </c>
      <c r="J17" s="461">
        <v>1.0305</v>
      </c>
      <c r="K17" s="461">
        <v>1.0588</v>
      </c>
      <c r="L17" s="461">
        <v>1.071</v>
      </c>
      <c r="M17" s="461">
        <v>1.0897</v>
      </c>
      <c r="N17" s="461">
        <v>1.1096</v>
      </c>
      <c r="O17" s="461">
        <v>1.1292</v>
      </c>
      <c r="P17" s="461">
        <v>1.1424</v>
      </c>
      <c r="Q17" s="461">
        <v>1.1535</v>
      </c>
      <c r="R17" s="461">
        <v>1.1481</v>
      </c>
      <c r="S17" s="461">
        <v>1.1669</v>
      </c>
      <c r="T17" s="461">
        <v>1.1847</v>
      </c>
      <c r="U17" s="461">
        <v>1.1989</v>
      </c>
      <c r="V17" s="461">
        <v>1.2067</v>
      </c>
      <c r="W17" s="461">
        <v>1.2309</v>
      </c>
      <c r="X17" s="461">
        <v>1.2315</v>
      </c>
      <c r="Y17" s="461">
        <v>1.2409</v>
      </c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</row>
    <row r="18" spans="1:48" ht="18">
      <c r="A18" s="462" t="s">
        <v>398</v>
      </c>
      <c r="B18" s="463">
        <f>HLOOKUP(Fecha,$D$3:$AE$20,16,FALSE)</f>
        <v>1.2403</v>
      </c>
      <c r="C18" s="455"/>
      <c r="D18" s="464">
        <v>1</v>
      </c>
      <c r="E18" s="464">
        <v>1.0003</v>
      </c>
      <c r="F18" s="464">
        <v>0.9998</v>
      </c>
      <c r="G18" s="464">
        <v>0.9997</v>
      </c>
      <c r="H18" s="464">
        <v>0.998</v>
      </c>
      <c r="I18" s="464">
        <v>1.0114</v>
      </c>
      <c r="J18" s="464">
        <v>1.031</v>
      </c>
      <c r="K18" s="464">
        <v>1.0594</v>
      </c>
      <c r="L18" s="464">
        <v>1.0717</v>
      </c>
      <c r="M18" s="464">
        <v>1.0903</v>
      </c>
      <c r="N18" s="464">
        <v>1.1106</v>
      </c>
      <c r="O18" s="464">
        <v>1.1301</v>
      </c>
      <c r="P18" s="464">
        <v>1.1433</v>
      </c>
      <c r="Q18" s="464">
        <v>1.154</v>
      </c>
      <c r="R18" s="464">
        <v>1.1479</v>
      </c>
      <c r="S18" s="464">
        <v>1.1661</v>
      </c>
      <c r="T18" s="464">
        <v>1.1842</v>
      </c>
      <c r="U18" s="464">
        <v>1.1978</v>
      </c>
      <c r="V18" s="464">
        <v>1.2059</v>
      </c>
      <c r="W18" s="464">
        <v>1.2301</v>
      </c>
      <c r="X18" s="464">
        <v>1.231</v>
      </c>
      <c r="Y18" s="464">
        <v>1.2403</v>
      </c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</row>
    <row r="19" spans="1:48" ht="18">
      <c r="A19" s="456" t="s">
        <v>411</v>
      </c>
      <c r="B19" s="465"/>
      <c r="C19" s="455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</row>
    <row r="20" spans="1:48" ht="18">
      <c r="A20" s="462" t="s">
        <v>399</v>
      </c>
      <c r="B20" s="463">
        <f>HLOOKUP(Fecha,$D$3:$AE$20,18,FALSE)</f>
        <v>1.2475</v>
      </c>
      <c r="C20" s="455"/>
      <c r="D20" s="464">
        <v>1</v>
      </c>
      <c r="E20" s="464">
        <v>0.9996</v>
      </c>
      <c r="F20" s="464">
        <v>0.9995</v>
      </c>
      <c r="G20" s="464">
        <v>1.0007</v>
      </c>
      <c r="H20" s="464">
        <v>0.9918</v>
      </c>
      <c r="I20" s="464">
        <v>1.0042</v>
      </c>
      <c r="J20" s="928">
        <v>1.0252</v>
      </c>
      <c r="K20" s="464">
        <v>1.0528</v>
      </c>
      <c r="L20" s="464">
        <v>1.0642</v>
      </c>
      <c r="M20" s="464">
        <v>1.0836</v>
      </c>
      <c r="N20" s="464">
        <v>1.1</v>
      </c>
      <c r="O20" s="464">
        <v>1.1203</v>
      </c>
      <c r="P20" s="464">
        <v>1.1334</v>
      </c>
      <c r="Q20" s="464">
        <v>1.148</v>
      </c>
      <c r="R20" s="464">
        <v>1.1491</v>
      </c>
      <c r="S20" s="464">
        <v>1.1749</v>
      </c>
      <c r="T20" s="464">
        <v>1.1901</v>
      </c>
      <c r="U20" s="464">
        <v>1.2102</v>
      </c>
      <c r="V20" s="464">
        <v>1.2148</v>
      </c>
      <c r="W20" s="464">
        <v>1.2386</v>
      </c>
      <c r="X20" s="464">
        <v>1.2374</v>
      </c>
      <c r="Y20" s="464">
        <v>1.2475</v>
      </c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</row>
    <row r="21" spans="18:29" ht="12.75"/>
    <row r="22" spans="18:29" ht="12.75"/>
    <row r="23" ht="12.75">
      <c r="AE23" s="466"/>
    </row>
    <row r="24" ht="12.75">
      <c r="AE24" s="466"/>
    </row>
    <row r="25" ht="12.75">
      <c r="AE25" s="466"/>
    </row>
    <row r="26" ht="12.75">
      <c r="AE26" s="466"/>
    </row>
    <row r="27" ht="12.75">
      <c r="AE27" s="466"/>
    </row>
    <row r="28" ht="12.75">
      <c r="AE28" s="466"/>
    </row>
    <row r="29" ht="12.75">
      <c r="AE29" s="466"/>
    </row>
    <row r="30" ht="12.75">
      <c r="AE30" s="466"/>
    </row>
    <row r="31" ht="12.75">
      <c r="AE31" s="466"/>
    </row>
    <row r="32" ht="12.75">
      <c r="AE32" s="466"/>
    </row>
    <row r="33" ht="12.75">
      <c r="AE33" s="466"/>
    </row>
    <row r="34" ht="12.75">
      <c r="AE34" s="466"/>
    </row>
    <row r="35" ht="12.75">
      <c r="AE35" s="466"/>
    </row>
    <row r="36" ht="12.75">
      <c r="AE36" s="466"/>
    </row>
    <row r="37" ht="12.75">
      <c r="AE37" s="466"/>
    </row>
    <row r="38" ht="12.75">
      <c r="AE38" s="466"/>
    </row>
    <row r="39" ht="12.75">
      <c r="AE39" s="46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W278"/>
  <sheetViews>
    <sheetView zoomScale="90" zoomScaleNormal="90" zoomScalePageLayoutView="0" workbookViewId="0" topLeftCell="A1">
      <selection activeCell="G22" sqref="G22"/>
    </sheetView>
  </sheetViews>
  <sheetFormatPr defaultColWidth="11.421875" defaultRowHeight="12.75"/>
  <cols>
    <col min="1" max="1" width="2.28125" style="470" customWidth="1"/>
    <col min="2" max="2" width="45.8515625" style="470" customWidth="1"/>
    <col min="3" max="3" width="11.421875" style="470" customWidth="1"/>
    <col min="4" max="4" width="44.7109375" style="470" bestFit="1" customWidth="1"/>
    <col min="5" max="5" width="11.421875" style="470" customWidth="1"/>
    <col min="6" max="6" width="12.140625" style="470" customWidth="1"/>
    <col min="7" max="7" width="11.421875" style="470" customWidth="1"/>
    <col min="8" max="8" width="12.00390625" style="470" customWidth="1"/>
    <col min="9" max="14" width="11.421875" style="470" customWidth="1"/>
    <col min="15" max="15" width="12.7109375" style="470" bestFit="1" customWidth="1"/>
    <col min="16" max="16384" width="11.421875" style="470" customWidth="1"/>
  </cols>
  <sheetData>
    <row r="2" spans="2:4" ht="21">
      <c r="B2" s="521" t="s">
        <v>385</v>
      </c>
      <c r="C2" s="522"/>
      <c r="D2" s="523"/>
    </row>
    <row r="3" spans="2:4" ht="18.75">
      <c r="B3" s="522" t="str">
        <f>+'Resolución 137-2019-OS_CD'!B2</f>
        <v>Resolución Osinergmin N° 137-2019-OS/CD modificado por Resolución Osinergmin N° 176-2019 OS/CD</v>
      </c>
      <c r="C3" s="523"/>
      <c r="D3" s="523"/>
    </row>
    <row r="4" spans="2:4" ht="18.75">
      <c r="B4" s="522" t="str">
        <f>+Factores!A2</f>
        <v>Vigente a partir del 04/Nov/2022</v>
      </c>
      <c r="C4" s="523"/>
      <c r="D4" s="523"/>
    </row>
    <row r="5" spans="2:4" ht="18.75">
      <c r="B5" s="522"/>
      <c r="C5" s="523"/>
      <c r="D5" s="523"/>
    </row>
    <row r="6" spans="2:8" ht="18.75">
      <c r="B6" s="953" t="s">
        <v>403</v>
      </c>
      <c r="C6" s="959"/>
      <c r="D6" s="959"/>
      <c r="E6" s="959"/>
      <c r="F6" s="959"/>
      <c r="G6" s="959"/>
      <c r="H6" s="959"/>
    </row>
    <row r="7" spans="2:4" ht="12.75">
      <c r="B7" s="471"/>
      <c r="C7" s="471"/>
      <c r="D7" s="471"/>
    </row>
    <row r="8" spans="2:8" ht="12.75">
      <c r="B8" s="538"/>
      <c r="C8" s="539"/>
      <c r="D8" s="540" t="s">
        <v>50</v>
      </c>
      <c r="E8" s="541" t="s">
        <v>318</v>
      </c>
      <c r="F8" s="541"/>
      <c r="G8" s="542"/>
      <c r="H8" s="543"/>
    </row>
    <row r="9" spans="2:8" ht="12.75">
      <c r="B9" s="544" t="s">
        <v>130</v>
      </c>
      <c r="C9" s="545" t="s">
        <v>3</v>
      </c>
      <c r="D9" s="545" t="s">
        <v>319</v>
      </c>
      <c r="E9" s="546" t="s">
        <v>248</v>
      </c>
      <c r="F9" s="546" t="s">
        <v>249</v>
      </c>
      <c r="G9" s="546" t="s">
        <v>250</v>
      </c>
      <c r="H9" s="546" t="s">
        <v>251</v>
      </c>
    </row>
    <row r="10" spans="2:20" ht="12.75">
      <c r="B10" s="472"/>
      <c r="C10" s="812" t="s">
        <v>320</v>
      </c>
      <c r="D10" s="473" t="s">
        <v>321</v>
      </c>
      <c r="E10" s="833">
        <f>+ROUND('Resolución 138-2019-OS_CD'!E7*Factores!$B$20,2)</f>
        <v>7.26</v>
      </c>
      <c r="F10" s="833">
        <f>+ROUND('Resolución 138-2019-OS_CD'!F7*Factores!$B$20,2)</f>
        <v>6.16</v>
      </c>
      <c r="G10" s="833">
        <f>+ROUND('Resolución 138-2019-OS_CD'!G7*Factores!$B$20,2)</f>
        <v>6.11</v>
      </c>
      <c r="H10" s="833">
        <f>+ROUND('Resolución 138-2019-OS_CD'!H7*Factores!$B$20,2)</f>
        <v>6.18</v>
      </c>
      <c r="L10" s="524">
        <v>5.06</v>
      </c>
      <c r="M10" s="524">
        <v>4.81</v>
      </c>
      <c r="N10" s="524">
        <v>4.6</v>
      </c>
      <c r="O10" s="524">
        <v>4.42</v>
      </c>
      <c r="Q10" s="524">
        <f aca="true" t="shared" si="0" ref="Q10:T17">+IF(L10=E10,0,1)</f>
        <v>1</v>
      </c>
      <c r="R10" s="524">
        <f t="shared" si="0"/>
        <v>1</v>
      </c>
      <c r="S10" s="524">
        <f t="shared" si="0"/>
        <v>1</v>
      </c>
      <c r="T10" s="524">
        <f t="shared" si="0"/>
        <v>1</v>
      </c>
    </row>
    <row r="11" spans="2:20" ht="12.75">
      <c r="B11" s="474"/>
      <c r="C11" s="813"/>
      <c r="D11" s="476" t="s">
        <v>322</v>
      </c>
      <c r="E11" s="833">
        <f>+ROUND('Resolución 138-2019-OS_CD'!E8*Factores!$B$20,2)</f>
        <v>9.89</v>
      </c>
      <c r="F11" s="833">
        <f>+ROUND('Resolución 138-2019-OS_CD'!F8*Factores!$B$20,2)</f>
        <v>8.55</v>
      </c>
      <c r="G11" s="833">
        <f>+ROUND('Resolución 138-2019-OS_CD'!G8*Factores!$B$20,2)</f>
        <v>8.47</v>
      </c>
      <c r="H11" s="833">
        <f>+ROUND('Resolución 138-2019-OS_CD'!H8*Factores!$B$20,2)</f>
        <v>8.55</v>
      </c>
      <c r="L11" s="524">
        <v>6.49</v>
      </c>
      <c r="M11" s="524">
        <v>6.18</v>
      </c>
      <c r="N11" s="524">
        <v>5.84</v>
      </c>
      <c r="O11" s="524">
        <v>5.72</v>
      </c>
      <c r="Q11" s="524">
        <f t="shared" si="0"/>
        <v>1</v>
      </c>
      <c r="R11" s="524">
        <f t="shared" si="0"/>
        <v>1</v>
      </c>
      <c r="S11" s="524">
        <f t="shared" si="0"/>
        <v>1</v>
      </c>
      <c r="T11" s="524">
        <f t="shared" si="0"/>
        <v>1</v>
      </c>
    </row>
    <row r="12" spans="2:20" ht="12.75">
      <c r="B12" s="474" t="s">
        <v>323</v>
      </c>
      <c r="C12" s="813"/>
      <c r="D12" s="476" t="s">
        <v>324</v>
      </c>
      <c r="E12" s="833">
        <f>+ROUND('Resolución 138-2019-OS_CD'!E9*Factores!$B$20,2)</f>
        <v>10.64</v>
      </c>
      <c r="F12" s="833">
        <f>+ROUND('Resolución 138-2019-OS_CD'!F9*Factores!$B$20,2)</f>
        <v>9.26</v>
      </c>
      <c r="G12" s="833">
        <f>+ROUND('Resolución 138-2019-OS_CD'!G9*Factores!$B$20,2)</f>
        <v>9.18</v>
      </c>
      <c r="H12" s="833">
        <f>+ROUND('Resolución 138-2019-OS_CD'!H9*Factores!$B$20,2)</f>
        <v>9.23</v>
      </c>
      <c r="L12" s="524">
        <v>6.53</v>
      </c>
      <c r="M12" s="524">
        <v>6.23</v>
      </c>
      <c r="N12" s="524">
        <v>5.92</v>
      </c>
      <c r="O12" s="524">
        <v>5.77</v>
      </c>
      <c r="Q12" s="524">
        <f t="shared" si="0"/>
        <v>1</v>
      </c>
      <c r="R12" s="524">
        <f t="shared" si="0"/>
        <v>1</v>
      </c>
      <c r="S12" s="524">
        <f t="shared" si="0"/>
        <v>1</v>
      </c>
      <c r="T12" s="524">
        <f t="shared" si="0"/>
        <v>1</v>
      </c>
    </row>
    <row r="13" spans="2:20" ht="12.75">
      <c r="B13" s="474" t="s">
        <v>325</v>
      </c>
      <c r="C13" s="813"/>
      <c r="D13" s="476" t="s">
        <v>326</v>
      </c>
      <c r="E13" s="833">
        <f>+ROUND('Resolución 138-2019-OS_CD'!E10*Factores!$B$20,2)</f>
        <v>27.03</v>
      </c>
      <c r="F13" s="833">
        <f>+ROUND('Resolución 138-2019-OS_CD'!F10*Factores!$B$20,2)</f>
        <v>27.22</v>
      </c>
      <c r="G13" s="833">
        <f>+ROUND('Resolución 138-2019-OS_CD'!G10*Factores!$B$20,2)</f>
        <v>27.2</v>
      </c>
      <c r="H13" s="833">
        <f>+ROUND('Resolución 138-2019-OS_CD'!H10*Factores!$B$20,2)</f>
        <v>26.67</v>
      </c>
      <c r="L13" s="524">
        <v>21.04</v>
      </c>
      <c r="M13" s="524">
        <v>20.97</v>
      </c>
      <c r="N13" s="524">
        <v>22.28</v>
      </c>
      <c r="O13" s="524">
        <v>20.88</v>
      </c>
      <c r="Q13" s="524">
        <f t="shared" si="0"/>
        <v>1</v>
      </c>
      <c r="R13" s="524">
        <f t="shared" si="0"/>
        <v>1</v>
      </c>
      <c r="S13" s="524">
        <f t="shared" si="0"/>
        <v>1</v>
      </c>
      <c r="T13" s="524">
        <f t="shared" si="0"/>
        <v>1</v>
      </c>
    </row>
    <row r="14" spans="2:20" ht="12.75">
      <c r="B14" s="474" t="s">
        <v>327</v>
      </c>
      <c r="C14" s="814" t="s">
        <v>328</v>
      </c>
      <c r="D14" s="476" t="s">
        <v>321</v>
      </c>
      <c r="E14" s="833">
        <f>+ROUND('Resolución 138-2019-OS_CD'!E11*Factores!$B$20,2)</f>
        <v>8.76</v>
      </c>
      <c r="F14" s="833">
        <f>+ROUND('Resolución 138-2019-OS_CD'!F11*Factores!$B$20,2)</f>
        <v>7.57</v>
      </c>
      <c r="G14" s="833">
        <f>+ROUND('Resolución 138-2019-OS_CD'!G11*Factores!$B$20,2)</f>
        <v>7.51</v>
      </c>
      <c r="H14" s="833">
        <f>+ROUND('Resolución 138-2019-OS_CD'!H11*Factores!$B$20,2)</f>
        <v>7.46</v>
      </c>
      <c r="L14" s="524">
        <v>6.09</v>
      </c>
      <c r="M14" s="524">
        <v>5.79</v>
      </c>
      <c r="N14" s="524">
        <v>5.53</v>
      </c>
      <c r="O14" s="524">
        <v>5.33</v>
      </c>
      <c r="Q14" s="524">
        <f t="shared" si="0"/>
        <v>1</v>
      </c>
      <c r="R14" s="524">
        <f t="shared" si="0"/>
        <v>1</v>
      </c>
      <c r="S14" s="524">
        <f t="shared" si="0"/>
        <v>1</v>
      </c>
      <c r="T14" s="524">
        <f t="shared" si="0"/>
        <v>1</v>
      </c>
    </row>
    <row r="15" spans="2:20" ht="12.75">
      <c r="B15" s="477"/>
      <c r="C15" s="475"/>
      <c r="D15" s="476" t="s">
        <v>322</v>
      </c>
      <c r="E15" s="833">
        <f>+ROUND('Resolución 138-2019-OS_CD'!E12*Factores!$B$20,2)</f>
        <v>11.34</v>
      </c>
      <c r="F15" s="833">
        <f>+ROUND('Resolución 138-2019-OS_CD'!F12*Factores!$B$20,2)</f>
        <v>9.67</v>
      </c>
      <c r="G15" s="833">
        <f>+ROUND('Resolución 138-2019-OS_CD'!G12*Factores!$B$20,2)</f>
        <v>9.58</v>
      </c>
      <c r="H15" s="833">
        <f>+ROUND('Resolución 138-2019-OS_CD'!H12*Factores!$B$20,2)</f>
        <v>9.73</v>
      </c>
      <c r="L15" s="524">
        <v>8.05</v>
      </c>
      <c r="M15" s="524">
        <v>7.68</v>
      </c>
      <c r="N15" s="524">
        <v>7.23</v>
      </c>
      <c r="O15" s="524">
        <v>7.1</v>
      </c>
      <c r="Q15" s="524">
        <f t="shared" si="0"/>
        <v>1</v>
      </c>
      <c r="R15" s="524">
        <f t="shared" si="0"/>
        <v>1</v>
      </c>
      <c r="S15" s="524">
        <f t="shared" si="0"/>
        <v>1</v>
      </c>
      <c r="T15" s="524">
        <f t="shared" si="0"/>
        <v>1</v>
      </c>
    </row>
    <row r="16" spans="2:20" ht="12.75">
      <c r="B16" s="474"/>
      <c r="C16" s="475"/>
      <c r="D16" s="476" t="s">
        <v>324</v>
      </c>
      <c r="E16" s="833">
        <f>+ROUND('Resolución 138-2019-OS_CD'!E13*Factores!$B$20,2)</f>
        <v>12.19</v>
      </c>
      <c r="F16" s="833">
        <f>+ROUND('Resolución 138-2019-OS_CD'!F13*Factores!$B$20,2)</f>
        <v>10.63</v>
      </c>
      <c r="G16" s="833">
        <f>+ROUND('Resolución 138-2019-OS_CD'!G13*Factores!$B$20,2)</f>
        <v>10.54</v>
      </c>
      <c r="H16" s="833">
        <f>+ROUND('Resolución 138-2019-OS_CD'!H13*Factores!$B$20,2)</f>
        <v>10.52</v>
      </c>
      <c r="L16" s="524">
        <v>8.33</v>
      </c>
      <c r="M16" s="524">
        <v>7.96</v>
      </c>
      <c r="N16" s="524">
        <v>7.54</v>
      </c>
      <c r="O16" s="524">
        <v>7.4</v>
      </c>
      <c r="Q16" s="524">
        <f t="shared" si="0"/>
        <v>1</v>
      </c>
      <c r="R16" s="524">
        <f t="shared" si="0"/>
        <v>1</v>
      </c>
      <c r="S16" s="524">
        <f t="shared" si="0"/>
        <v>1</v>
      </c>
      <c r="T16" s="524">
        <f t="shared" si="0"/>
        <v>1</v>
      </c>
    </row>
    <row r="17" spans="2:21" ht="12.75">
      <c r="B17" s="478"/>
      <c r="C17" s="479"/>
      <c r="D17" s="480" t="s">
        <v>326</v>
      </c>
      <c r="E17" s="512">
        <f>+ROUND('Resolución 138-2019-OS_CD'!E14*Factores!$B$20,2)</f>
        <v>32.98</v>
      </c>
      <c r="F17" s="512">
        <f>+ROUND('Resolución 138-2019-OS_CD'!F14*Factores!$B$20,2)</f>
        <v>33.16</v>
      </c>
      <c r="G17" s="512">
        <f>+ROUND('Resolución 138-2019-OS_CD'!G14*Factores!$B$20,2)</f>
        <v>33.15</v>
      </c>
      <c r="H17" s="512">
        <f>+ROUND('Resolución 138-2019-OS_CD'!H14*Factores!$B$20,2)</f>
        <v>32.82</v>
      </c>
      <c r="K17" s="883" t="s">
        <v>430</v>
      </c>
      <c r="L17" s="524">
        <v>25.01</v>
      </c>
      <c r="M17" s="524">
        <v>24.98</v>
      </c>
      <c r="N17" s="524">
        <v>26.46</v>
      </c>
      <c r="O17" s="524">
        <v>24.92</v>
      </c>
      <c r="Q17" s="524">
        <f t="shared" si="0"/>
        <v>1</v>
      </c>
      <c r="R17" s="524">
        <f t="shared" si="0"/>
        <v>1</v>
      </c>
      <c r="S17" s="524">
        <f t="shared" si="0"/>
        <v>1</v>
      </c>
      <c r="T17" s="524">
        <f t="shared" si="0"/>
        <v>1</v>
      </c>
      <c r="U17" s="525">
        <f>+SUM(Q10:T17)</f>
        <v>32</v>
      </c>
    </row>
    <row r="18" spans="2:21" ht="12.75">
      <c r="B18" s="805"/>
      <c r="C18" s="471"/>
      <c r="D18" s="471"/>
      <c r="E18" s="807"/>
      <c r="F18" s="807"/>
      <c r="G18" s="807"/>
      <c r="H18" s="807"/>
      <c r="K18" s="496">
        <f>+SUM(E10:H17)</f>
        <v>455.21</v>
      </c>
      <c r="L18" s="524"/>
      <c r="M18" s="524"/>
      <c r="N18" s="524"/>
      <c r="O18" s="524"/>
      <c r="Q18" s="524"/>
      <c r="R18" s="524"/>
      <c r="S18" s="524"/>
      <c r="T18" s="524"/>
      <c r="U18" s="525"/>
    </row>
    <row r="19" spans="2:21" ht="12.75">
      <c r="B19" s="805"/>
      <c r="C19" s="471"/>
      <c r="D19" s="471"/>
      <c r="E19" s="493"/>
      <c r="F19" s="493"/>
      <c r="G19" s="493"/>
      <c r="H19" s="493"/>
      <c r="L19" s="524"/>
      <c r="M19" s="524"/>
      <c r="N19" s="524"/>
      <c r="O19" s="524"/>
      <c r="Q19" s="524"/>
      <c r="R19" s="524"/>
      <c r="S19" s="524"/>
      <c r="T19" s="524"/>
      <c r="U19" s="525"/>
    </row>
    <row r="20" spans="2:20" ht="12.75">
      <c r="B20" s="547"/>
      <c r="C20" s="548"/>
      <c r="D20" s="548" t="s">
        <v>50</v>
      </c>
      <c r="E20" s="549" t="s">
        <v>318</v>
      </c>
      <c r="F20" s="550"/>
      <c r="G20" s="550"/>
      <c r="H20" s="551"/>
      <c r="Q20" s="524"/>
      <c r="R20" s="524"/>
      <c r="S20" s="524"/>
      <c r="T20" s="524"/>
    </row>
    <row r="21" spans="2:20" ht="24">
      <c r="B21" s="552" t="s">
        <v>130</v>
      </c>
      <c r="C21" s="552" t="s">
        <v>3</v>
      </c>
      <c r="D21" s="552" t="s">
        <v>319</v>
      </c>
      <c r="E21" s="923" t="s">
        <v>252</v>
      </c>
      <c r="F21" s="553" t="s">
        <v>263</v>
      </c>
      <c r="G21" s="553" t="s">
        <v>254</v>
      </c>
      <c r="H21" s="553" t="s">
        <v>265</v>
      </c>
      <c r="Q21" s="524"/>
      <c r="R21" s="524"/>
      <c r="S21" s="524"/>
      <c r="T21" s="524"/>
    </row>
    <row r="22" spans="2:20" ht="12.75">
      <c r="B22" s="481"/>
      <c r="C22" s="815" t="s">
        <v>320</v>
      </c>
      <c r="D22" s="482" t="s">
        <v>321</v>
      </c>
      <c r="E22" s="924">
        <f>+ROUND('Resolución 138-2019-OS_CD'!E18*Factores!$B$20,2)</f>
        <v>7.47</v>
      </c>
      <c r="F22" s="834">
        <f>+ROUND('Resolución 138-2019-OS_CD'!F18*Factores!$B$20,2)</f>
        <v>7.6</v>
      </c>
      <c r="G22" s="834">
        <f>+ROUND('Resolución 138-2019-OS_CD'!G18*Factores!$B$20,2)</f>
        <v>7.82</v>
      </c>
      <c r="H22" s="834">
        <f>+ROUND('Resolución 138-2019-OS_CD'!H18*Factores!$B$20,2)</f>
        <v>7.15</v>
      </c>
      <c r="L22" s="496">
        <v>5.25</v>
      </c>
      <c r="M22" s="496">
        <v>4.41</v>
      </c>
      <c r="N22" s="496">
        <v>5.52</v>
      </c>
      <c r="O22" s="496">
        <v>4.72</v>
      </c>
      <c r="Q22" s="524">
        <f aca="true" t="shared" si="1" ref="Q22:Q29">+IF(L22=E22,0,1)</f>
        <v>1</v>
      </c>
      <c r="R22" s="524">
        <f aca="true" t="shared" si="2" ref="R22:R29">+IF(M22=F22,0,1)</f>
        <v>1</v>
      </c>
      <c r="S22" s="524">
        <f aca="true" t="shared" si="3" ref="S22:S29">+IF(N22=G22,0,1)</f>
        <v>1</v>
      </c>
      <c r="T22" s="524">
        <f aca="true" t="shared" si="4" ref="T22:T29">+IF(O22=H22,0,1)</f>
        <v>1</v>
      </c>
    </row>
    <row r="23" spans="2:20" ht="12.75">
      <c r="B23" s="474"/>
      <c r="C23" s="813"/>
      <c r="D23" s="482" t="s">
        <v>322</v>
      </c>
      <c r="E23" s="924">
        <f>+ROUND('Resolución 138-2019-OS_CD'!E19*Factores!$B$20,2)</f>
        <v>9.99</v>
      </c>
      <c r="F23" s="834">
        <f>+ROUND('Resolución 138-2019-OS_CD'!F19*Factores!$B$20,2)</f>
        <v>10.32</v>
      </c>
      <c r="G23" s="834">
        <f>+ROUND('Resolución 138-2019-OS_CD'!G19*Factores!$B$20,2)</f>
        <v>10.6</v>
      </c>
      <c r="H23" s="834">
        <f>+ROUND('Resolución 138-2019-OS_CD'!H19*Factores!$B$20,2)</f>
        <v>9.57</v>
      </c>
      <c r="L23" s="496">
        <v>6.46</v>
      </c>
      <c r="M23" s="496">
        <v>5.72</v>
      </c>
      <c r="N23" s="496">
        <v>7.03</v>
      </c>
      <c r="O23" s="496">
        <v>5.82</v>
      </c>
      <c r="Q23" s="524">
        <f t="shared" si="1"/>
        <v>1</v>
      </c>
      <c r="R23" s="524">
        <f t="shared" si="2"/>
        <v>1</v>
      </c>
      <c r="S23" s="524">
        <f t="shared" si="3"/>
        <v>1</v>
      </c>
      <c r="T23" s="524">
        <f t="shared" si="4"/>
        <v>1</v>
      </c>
    </row>
    <row r="24" spans="2:20" ht="12.75">
      <c r="B24" s="474" t="s">
        <v>323</v>
      </c>
      <c r="C24" s="813"/>
      <c r="D24" s="482" t="s">
        <v>324</v>
      </c>
      <c r="E24" s="924">
        <f>+ROUND('Resolución 138-2019-OS_CD'!E20*Factores!$B$20,2)</f>
        <v>10.78</v>
      </c>
      <c r="F24" s="834">
        <f>+ROUND('Resolución 138-2019-OS_CD'!F20*Factores!$B$20,2)</f>
        <v>11.09</v>
      </c>
      <c r="G24" s="834">
        <f>+ROUND('Resolución 138-2019-OS_CD'!G20*Factores!$B$20,2)</f>
        <v>11.38</v>
      </c>
      <c r="H24" s="834">
        <f>+ROUND('Resolución 138-2019-OS_CD'!H20*Factores!$B$20,2)</f>
        <v>10.34</v>
      </c>
      <c r="L24" s="496">
        <v>6.52</v>
      </c>
      <c r="M24" s="496">
        <v>5.76</v>
      </c>
      <c r="N24" s="496">
        <v>7.07</v>
      </c>
      <c r="O24" s="496">
        <v>5.88</v>
      </c>
      <c r="Q24" s="524">
        <f t="shared" si="1"/>
        <v>1</v>
      </c>
      <c r="R24" s="524">
        <f t="shared" si="2"/>
        <v>1</v>
      </c>
      <c r="S24" s="524">
        <f t="shared" si="3"/>
        <v>1</v>
      </c>
      <c r="T24" s="524">
        <f t="shared" si="4"/>
        <v>1</v>
      </c>
    </row>
    <row r="25" spans="2:20" ht="12.75">
      <c r="B25" s="474" t="s">
        <v>325</v>
      </c>
      <c r="C25" s="813"/>
      <c r="D25" s="482" t="s">
        <v>326</v>
      </c>
      <c r="E25" s="924">
        <f>+ROUND('Resolución 138-2019-OS_CD'!E21*Factores!$B$20,2)</f>
        <v>30.09</v>
      </c>
      <c r="F25" s="834">
        <f>+ROUND('Resolución 138-2019-OS_CD'!F21*Factores!$B$20,2)</f>
        <v>27.15</v>
      </c>
      <c r="G25" s="834">
        <f>+ROUND('Resolución 138-2019-OS_CD'!G21*Factores!$B$20,2)</f>
        <v>27.22</v>
      </c>
      <c r="H25" s="834">
        <f>+ROUND('Resolución 138-2019-OS_CD'!H21*Factores!$B$20,2)</f>
        <v>30.18</v>
      </c>
      <c r="L25" s="496">
        <v>23.45</v>
      </c>
      <c r="M25" s="496">
        <v>20.88</v>
      </c>
      <c r="N25" s="496">
        <v>21.15</v>
      </c>
      <c r="O25" s="496">
        <v>23.77</v>
      </c>
      <c r="Q25" s="524">
        <f t="shared" si="1"/>
        <v>1</v>
      </c>
      <c r="R25" s="524">
        <f t="shared" si="2"/>
        <v>1</v>
      </c>
      <c r="S25" s="524">
        <f t="shared" si="3"/>
        <v>1</v>
      </c>
      <c r="T25" s="524">
        <f t="shared" si="4"/>
        <v>1</v>
      </c>
    </row>
    <row r="26" spans="2:20" ht="12.75">
      <c r="B26" s="474" t="s">
        <v>327</v>
      </c>
      <c r="C26" s="816" t="s">
        <v>328</v>
      </c>
      <c r="D26" s="482" t="s">
        <v>321</v>
      </c>
      <c r="E26" s="924">
        <f>+ROUND('Resolución 138-2019-OS_CD'!E22*Factores!$B$20,2)</f>
        <v>9.26</v>
      </c>
      <c r="F26" s="834">
        <f>+ROUND('Resolución 138-2019-OS_CD'!F22*Factores!$B$20,2)</f>
        <v>9.17</v>
      </c>
      <c r="G26" s="834">
        <f>+ROUND('Resolución 138-2019-OS_CD'!G22*Factores!$B$20,2)</f>
        <v>9.43</v>
      </c>
      <c r="H26" s="834">
        <f>+ROUND('Resolución 138-2019-OS_CD'!H22*Factores!$B$20,2)</f>
        <v>8.88</v>
      </c>
      <c r="L26" s="496">
        <v>6.09</v>
      </c>
      <c r="M26" s="496">
        <v>5.32</v>
      </c>
      <c r="N26" s="496">
        <v>6.63</v>
      </c>
      <c r="O26" s="496">
        <v>5.45</v>
      </c>
      <c r="Q26" s="524">
        <f t="shared" si="1"/>
        <v>1</v>
      </c>
      <c r="R26" s="524">
        <f t="shared" si="2"/>
        <v>1</v>
      </c>
      <c r="S26" s="524">
        <f t="shared" si="3"/>
        <v>1</v>
      </c>
      <c r="T26" s="524">
        <f t="shared" si="4"/>
        <v>1</v>
      </c>
    </row>
    <row r="27" spans="2:20" ht="12.75">
      <c r="B27" s="474"/>
      <c r="C27" s="813"/>
      <c r="D27" s="482" t="s">
        <v>322</v>
      </c>
      <c r="E27" s="924">
        <f>+ROUND('Resolución 138-2019-OS_CD'!E23*Factores!$B$20,2)</f>
        <v>11.56</v>
      </c>
      <c r="F27" s="834">
        <f>+ROUND('Resolución 138-2019-OS_CD'!F23*Factores!$B$20,2)</f>
        <v>11.85</v>
      </c>
      <c r="G27" s="834">
        <f>+ROUND('Resolución 138-2019-OS_CD'!G23*Factores!$B$20,2)</f>
        <v>12.19</v>
      </c>
      <c r="H27" s="834">
        <f>+ROUND('Resolución 138-2019-OS_CD'!H23*Factores!$B$20,2)</f>
        <v>11.07</v>
      </c>
      <c r="L27" s="496">
        <v>7.88</v>
      </c>
      <c r="M27" s="496">
        <v>7.1</v>
      </c>
      <c r="N27" s="496">
        <v>8.72</v>
      </c>
      <c r="O27" s="496">
        <v>7.06</v>
      </c>
      <c r="Q27" s="524">
        <f t="shared" si="1"/>
        <v>1</v>
      </c>
      <c r="R27" s="524">
        <f t="shared" si="2"/>
        <v>1</v>
      </c>
      <c r="S27" s="524">
        <f t="shared" si="3"/>
        <v>1</v>
      </c>
      <c r="T27" s="524">
        <f t="shared" si="4"/>
        <v>1</v>
      </c>
    </row>
    <row r="28" spans="2:20" ht="12.75">
      <c r="B28" s="474"/>
      <c r="C28" s="475"/>
      <c r="D28" s="482" t="s">
        <v>324</v>
      </c>
      <c r="E28" s="924">
        <f>+ROUND('Resolución 138-2019-OS_CD'!E24*Factores!$B$20,2)</f>
        <v>12.6</v>
      </c>
      <c r="F28" s="834">
        <f>+ROUND('Resolución 138-2019-OS_CD'!F24*Factores!$B$20,2)</f>
        <v>12.72</v>
      </c>
      <c r="G28" s="834">
        <f>+ROUND('Resolución 138-2019-OS_CD'!G24*Factores!$B$20,2)</f>
        <v>13.07</v>
      </c>
      <c r="H28" s="834">
        <f>+ROUND('Resolución 138-2019-OS_CD'!H24*Factores!$B$20,2)</f>
        <v>12.1</v>
      </c>
      <c r="L28" s="496">
        <v>8.22</v>
      </c>
      <c r="M28" s="496">
        <v>7.39</v>
      </c>
      <c r="N28" s="496">
        <v>8.99</v>
      </c>
      <c r="O28" s="496">
        <v>7.42</v>
      </c>
      <c r="Q28" s="524">
        <f t="shared" si="1"/>
        <v>1</v>
      </c>
      <c r="R28" s="524">
        <f t="shared" si="2"/>
        <v>1</v>
      </c>
      <c r="S28" s="524">
        <f t="shared" si="3"/>
        <v>1</v>
      </c>
      <c r="T28" s="524">
        <f t="shared" si="4"/>
        <v>1</v>
      </c>
    </row>
    <row r="29" spans="2:20" ht="12.75">
      <c r="B29" s="478"/>
      <c r="C29" s="479"/>
      <c r="D29" s="483" t="s">
        <v>326</v>
      </c>
      <c r="E29" s="924">
        <f>+ROUND('Resolución 138-2019-OS_CD'!E25*Factores!$B$20,2)</f>
        <v>37.45</v>
      </c>
      <c r="F29" s="834">
        <f>+ROUND('Resolución 138-2019-OS_CD'!F25*Factores!$B$20,2)</f>
        <v>33.03</v>
      </c>
      <c r="G29" s="834">
        <f>+ROUND('Resolución 138-2019-OS_CD'!G25*Factores!$B$20,2)</f>
        <v>33.07</v>
      </c>
      <c r="H29" s="834">
        <f>+ROUND('Resolución 138-2019-OS_CD'!H25*Factores!$B$20,2)</f>
        <v>37.66</v>
      </c>
      <c r="K29" s="883" t="s">
        <v>430</v>
      </c>
      <c r="L29" s="496">
        <v>27.64</v>
      </c>
      <c r="M29" s="496">
        <v>24.92</v>
      </c>
      <c r="N29" s="496">
        <v>25.07</v>
      </c>
      <c r="O29" s="496">
        <v>28.02</v>
      </c>
      <c r="Q29" s="524">
        <f t="shared" si="1"/>
        <v>1</v>
      </c>
      <c r="R29" s="524">
        <f t="shared" si="2"/>
        <v>1</v>
      </c>
      <c r="S29" s="524">
        <f t="shared" si="3"/>
        <v>1</v>
      </c>
      <c r="T29" s="524">
        <f t="shared" si="4"/>
        <v>1</v>
      </c>
    </row>
    <row r="30" spans="2:20" ht="12.75">
      <c r="B30" s="805"/>
      <c r="C30" s="471"/>
      <c r="D30" s="471"/>
      <c r="E30" s="339"/>
      <c r="F30" s="493"/>
      <c r="G30" s="493"/>
      <c r="H30" s="493"/>
      <c r="K30" s="496">
        <f>+SUM(E22:H29)</f>
        <v>503.8600000000001</v>
      </c>
      <c r="L30" s="496"/>
      <c r="M30" s="496"/>
      <c r="N30" s="496"/>
      <c r="O30" s="496"/>
      <c r="Q30" s="524"/>
      <c r="R30" s="524"/>
      <c r="S30" s="524"/>
      <c r="T30" s="524"/>
    </row>
    <row r="31" spans="2:20" ht="12.75">
      <c r="B31" s="805"/>
      <c r="C31" s="471"/>
      <c r="D31" s="471"/>
      <c r="E31" s="493"/>
      <c r="F31" s="493"/>
      <c r="G31" s="493"/>
      <c r="H31" s="493"/>
      <c r="L31" s="496"/>
      <c r="M31" s="496"/>
      <c r="N31" s="496"/>
      <c r="O31" s="496"/>
      <c r="Q31" s="524"/>
      <c r="R31" s="524"/>
      <c r="S31" s="524"/>
      <c r="T31" s="524"/>
    </row>
    <row r="32" spans="2:20" ht="12.75">
      <c r="B32" s="547"/>
      <c r="C32" s="548"/>
      <c r="D32" s="554" t="s">
        <v>50</v>
      </c>
      <c r="E32" s="549" t="s">
        <v>318</v>
      </c>
      <c r="F32" s="550"/>
      <c r="G32" s="550"/>
      <c r="H32" s="551"/>
      <c r="Q32" s="524"/>
      <c r="R32" s="524"/>
      <c r="S32" s="524"/>
      <c r="T32" s="524"/>
    </row>
    <row r="33" spans="2:20" ht="12.75">
      <c r="B33" s="552" t="s">
        <v>130</v>
      </c>
      <c r="C33" s="552" t="s">
        <v>3</v>
      </c>
      <c r="D33" s="552" t="s">
        <v>319</v>
      </c>
      <c r="E33" s="553" t="s">
        <v>255</v>
      </c>
      <c r="F33" s="553" t="s">
        <v>266</v>
      </c>
      <c r="G33" s="553" t="s">
        <v>256</v>
      </c>
      <c r="H33" s="553" t="s">
        <v>257</v>
      </c>
      <c r="Q33" s="524"/>
      <c r="R33" s="524"/>
      <c r="S33" s="524"/>
      <c r="T33" s="524"/>
    </row>
    <row r="34" spans="2:20" ht="12.75">
      <c r="B34" s="481"/>
      <c r="C34" s="815" t="s">
        <v>320</v>
      </c>
      <c r="D34" s="482" t="s">
        <v>321</v>
      </c>
      <c r="E34" s="834">
        <f>+ROUND('Resolución 138-2019-OS_CD'!E29*Factores!$B$20,2)</f>
        <v>8.47</v>
      </c>
      <c r="F34" s="834">
        <f>+ROUND('Resolución 138-2019-OS_CD'!F29*Factores!$B$20,2)</f>
        <v>6.76</v>
      </c>
      <c r="G34" s="834">
        <f>+ROUND('Resolución 138-2019-OS_CD'!G29*Factores!$B$20,2)</f>
        <v>6.37</v>
      </c>
      <c r="H34" s="834">
        <f>+ROUND('Resolución 138-2019-OS_CD'!H29*Factores!$B$20,2)</f>
        <v>6</v>
      </c>
      <c r="L34" s="496">
        <v>5.9</v>
      </c>
      <c r="M34" s="496">
        <v>4.93</v>
      </c>
      <c r="N34" s="496">
        <v>4.62</v>
      </c>
      <c r="O34" s="496">
        <v>4.28</v>
      </c>
      <c r="Q34" s="524">
        <f aca="true" t="shared" si="5" ref="Q34:T41">+IF(L34=E34,0,1)</f>
        <v>1</v>
      </c>
      <c r="R34" s="524">
        <f t="shared" si="5"/>
        <v>1</v>
      </c>
      <c r="S34" s="524">
        <f t="shared" si="5"/>
        <v>1</v>
      </c>
      <c r="T34" s="524">
        <f t="shared" si="5"/>
        <v>1</v>
      </c>
    </row>
    <row r="35" spans="2:20" ht="12.75">
      <c r="B35" s="474"/>
      <c r="C35" s="813"/>
      <c r="D35" s="482" t="s">
        <v>322</v>
      </c>
      <c r="E35" s="834">
        <f>+ROUND('Resolución 138-2019-OS_CD'!E30*Factores!$B$20,2)</f>
        <v>11.43</v>
      </c>
      <c r="F35" s="834">
        <f>+ROUND('Resolución 138-2019-OS_CD'!F30*Factores!$B$20,2)</f>
        <v>9.27</v>
      </c>
      <c r="G35" s="834">
        <f>+ROUND('Resolución 138-2019-OS_CD'!G30*Factores!$B$20,2)</f>
        <v>8.78</v>
      </c>
      <c r="H35" s="834">
        <f>+ROUND('Resolución 138-2019-OS_CD'!H30*Factores!$B$20,2)</f>
        <v>8.32</v>
      </c>
      <c r="L35" s="496">
        <v>7.48</v>
      </c>
      <c r="M35" s="496">
        <v>6.32</v>
      </c>
      <c r="N35" s="496">
        <v>5.96</v>
      </c>
      <c r="O35" s="496">
        <v>5.55</v>
      </c>
      <c r="Q35" s="524">
        <f t="shared" si="5"/>
        <v>1</v>
      </c>
      <c r="R35" s="524">
        <f t="shared" si="5"/>
        <v>1</v>
      </c>
      <c r="S35" s="524">
        <f t="shared" si="5"/>
        <v>1</v>
      </c>
      <c r="T35" s="524">
        <f t="shared" si="5"/>
        <v>1</v>
      </c>
    </row>
    <row r="36" spans="2:20" ht="12.75">
      <c r="B36" s="474" t="s">
        <v>323</v>
      </c>
      <c r="C36" s="813"/>
      <c r="D36" s="482" t="s">
        <v>324</v>
      </c>
      <c r="E36" s="834">
        <f>+ROUND('Resolución 138-2019-OS_CD'!E31*Factores!$B$20,2)</f>
        <v>12.24</v>
      </c>
      <c r="F36" s="834">
        <f>+ROUND('Resolución 138-2019-OS_CD'!F31*Factores!$B$20,2)</f>
        <v>9.98</v>
      </c>
      <c r="G36" s="834">
        <f>+ROUND('Resolución 138-2019-OS_CD'!G31*Factores!$B$20,2)</f>
        <v>9.48</v>
      </c>
      <c r="H36" s="834">
        <f>+ROUND('Resolución 138-2019-OS_CD'!H31*Factores!$B$20,2)</f>
        <v>8.99</v>
      </c>
      <c r="L36" s="496">
        <v>7.53</v>
      </c>
      <c r="M36" s="496">
        <v>6.37</v>
      </c>
      <c r="N36" s="496">
        <v>6.01</v>
      </c>
      <c r="O36" s="496">
        <v>5.6</v>
      </c>
      <c r="Q36" s="524">
        <f t="shared" si="5"/>
        <v>1</v>
      </c>
      <c r="R36" s="524">
        <f t="shared" si="5"/>
        <v>1</v>
      </c>
      <c r="S36" s="524">
        <f t="shared" si="5"/>
        <v>1</v>
      </c>
      <c r="T36" s="524">
        <f t="shared" si="5"/>
        <v>1</v>
      </c>
    </row>
    <row r="37" spans="2:20" ht="12.75">
      <c r="B37" s="474" t="s">
        <v>325</v>
      </c>
      <c r="C37" s="813"/>
      <c r="D37" s="482" t="s">
        <v>326</v>
      </c>
      <c r="E37" s="834">
        <f>+ROUND('Resolución 138-2019-OS_CD'!E32*Factores!$B$20,2)</f>
        <v>27.45</v>
      </c>
      <c r="F37" s="834">
        <f>+ROUND('Resolución 138-2019-OS_CD'!F32*Factores!$B$20,2)</f>
        <v>26.86</v>
      </c>
      <c r="G37" s="834">
        <f>+ROUND('Resolución 138-2019-OS_CD'!G32*Factores!$B$20,2)</f>
        <v>26.73</v>
      </c>
      <c r="H37" s="834">
        <f>+ROUND('Resolución 138-2019-OS_CD'!H32*Factores!$B$20,2)</f>
        <v>26.61</v>
      </c>
      <c r="L37" s="496">
        <v>21.25</v>
      </c>
      <c r="M37" s="496">
        <v>21</v>
      </c>
      <c r="N37" s="496">
        <v>20.93</v>
      </c>
      <c r="O37" s="496">
        <v>20.84</v>
      </c>
      <c r="Q37" s="524">
        <f t="shared" si="5"/>
        <v>1</v>
      </c>
      <c r="R37" s="524">
        <f t="shared" si="5"/>
        <v>1</v>
      </c>
      <c r="S37" s="524">
        <f t="shared" si="5"/>
        <v>1</v>
      </c>
      <c r="T37" s="524">
        <f t="shared" si="5"/>
        <v>1</v>
      </c>
    </row>
    <row r="38" spans="2:20" ht="12.75">
      <c r="B38" s="474" t="s">
        <v>327</v>
      </c>
      <c r="C38" s="817" t="s">
        <v>328</v>
      </c>
      <c r="D38" s="482" t="s">
        <v>321</v>
      </c>
      <c r="E38" s="834">
        <f>+ROUND('Resolución 138-2019-OS_CD'!E33*Factores!$B$20,2)</f>
        <v>10.22</v>
      </c>
      <c r="F38" s="834">
        <f>+ROUND('Resolución 138-2019-OS_CD'!F33*Factores!$B$20,2)</f>
        <v>8.15</v>
      </c>
      <c r="G38" s="834">
        <f>+ROUND('Resolución 138-2019-OS_CD'!G33*Factores!$B$20,2)</f>
        <v>7.68</v>
      </c>
      <c r="H38" s="834">
        <f>+ROUND('Resolución 138-2019-OS_CD'!H33*Factores!$B$20,2)</f>
        <v>7.25</v>
      </c>
      <c r="L38" s="496">
        <v>7.08</v>
      </c>
      <c r="M38" s="496">
        <v>5.93</v>
      </c>
      <c r="N38" s="496">
        <v>5.57</v>
      </c>
      <c r="O38" s="496">
        <v>5.16</v>
      </c>
      <c r="Q38" s="524">
        <f t="shared" si="5"/>
        <v>1</v>
      </c>
      <c r="R38" s="524">
        <f t="shared" si="5"/>
        <v>1</v>
      </c>
      <c r="S38" s="524">
        <f t="shared" si="5"/>
        <v>1</v>
      </c>
      <c r="T38" s="524">
        <f t="shared" si="5"/>
        <v>1</v>
      </c>
    </row>
    <row r="39" spans="2:20" ht="12.75">
      <c r="B39" s="474"/>
      <c r="C39" s="475"/>
      <c r="D39" s="482" t="s">
        <v>322</v>
      </c>
      <c r="E39" s="834">
        <f>+ROUND('Resolución 138-2019-OS_CD'!E34*Factores!$B$20,2)</f>
        <v>13.17</v>
      </c>
      <c r="F39" s="834">
        <f>+ROUND('Resolución 138-2019-OS_CD'!F34*Factores!$B$20,2)</f>
        <v>10.59</v>
      </c>
      <c r="G39" s="834">
        <f>+ROUND('Resolución 138-2019-OS_CD'!G34*Factores!$B$20,2)</f>
        <v>10.02</v>
      </c>
      <c r="H39" s="834">
        <f>+ROUND('Resolución 138-2019-OS_CD'!H34*Factores!$B$20,2)</f>
        <v>9.47</v>
      </c>
      <c r="L39" s="496">
        <v>9.29</v>
      </c>
      <c r="M39" s="496">
        <v>7.85</v>
      </c>
      <c r="N39" s="496">
        <v>7.4</v>
      </c>
      <c r="O39" s="496">
        <v>6.89</v>
      </c>
      <c r="Q39" s="524">
        <f t="shared" si="5"/>
        <v>1</v>
      </c>
      <c r="R39" s="524">
        <f t="shared" si="5"/>
        <v>1</v>
      </c>
      <c r="S39" s="524">
        <f t="shared" si="5"/>
        <v>1</v>
      </c>
      <c r="T39" s="524">
        <f t="shared" si="5"/>
        <v>1</v>
      </c>
    </row>
    <row r="40" spans="2:20" ht="12.75">
      <c r="B40" s="474"/>
      <c r="C40" s="475"/>
      <c r="D40" s="482" t="s">
        <v>324</v>
      </c>
      <c r="E40" s="834">
        <f>+ROUND('Resolución 138-2019-OS_CD'!E35*Factores!$B$20,2)</f>
        <v>14.1</v>
      </c>
      <c r="F40" s="834">
        <f>+ROUND('Resolución 138-2019-OS_CD'!F35*Factores!$B$20,2)</f>
        <v>11.41</v>
      </c>
      <c r="G40" s="834">
        <f>+ROUND('Resolución 138-2019-OS_CD'!G35*Factores!$B$20,2)</f>
        <v>10.82</v>
      </c>
      <c r="H40" s="834">
        <f>+ROUND('Resolución 138-2019-OS_CD'!H35*Factores!$B$20,2)</f>
        <v>10.24</v>
      </c>
      <c r="L40" s="496">
        <v>9.54</v>
      </c>
      <c r="M40" s="496">
        <v>8.13</v>
      </c>
      <c r="N40" s="496">
        <v>7.69</v>
      </c>
      <c r="O40" s="496">
        <v>7.19</v>
      </c>
      <c r="Q40" s="524">
        <f t="shared" si="5"/>
        <v>1</v>
      </c>
      <c r="R40" s="524">
        <f t="shared" si="5"/>
        <v>1</v>
      </c>
      <c r="S40" s="524">
        <f t="shared" si="5"/>
        <v>1</v>
      </c>
      <c r="T40" s="524">
        <f t="shared" si="5"/>
        <v>1</v>
      </c>
    </row>
    <row r="41" spans="2:21" ht="12.75">
      <c r="B41" s="478"/>
      <c r="C41" s="479"/>
      <c r="D41" s="483" t="s">
        <v>326</v>
      </c>
      <c r="E41" s="834">
        <f>+ROUND('Resolución 138-2019-OS_CD'!E36*Factores!$B$20,2)</f>
        <v>33.17</v>
      </c>
      <c r="F41" s="834">
        <f>+ROUND('Resolución 138-2019-OS_CD'!F36*Factores!$B$20,2)</f>
        <v>32.91</v>
      </c>
      <c r="G41" s="834">
        <f>+ROUND('Resolución 138-2019-OS_CD'!G36*Factores!$B$20,2)</f>
        <v>32.86</v>
      </c>
      <c r="H41" s="834">
        <f>+ROUND('Resolución 138-2019-OS_CD'!H36*Factores!$B$20,2)</f>
        <v>32.8</v>
      </c>
      <c r="K41" s="883" t="s">
        <v>430</v>
      </c>
      <c r="L41" s="496">
        <v>25.13</v>
      </c>
      <c r="M41" s="496">
        <v>24.99</v>
      </c>
      <c r="N41" s="496">
        <v>24.95</v>
      </c>
      <c r="O41" s="496">
        <v>24.9</v>
      </c>
      <c r="Q41" s="524">
        <f t="shared" si="5"/>
        <v>1</v>
      </c>
      <c r="R41" s="524">
        <f t="shared" si="5"/>
        <v>1</v>
      </c>
      <c r="S41" s="524">
        <f t="shared" si="5"/>
        <v>1</v>
      </c>
      <c r="T41" s="524">
        <f t="shared" si="5"/>
        <v>1</v>
      </c>
      <c r="U41" s="525">
        <f>+SUM(Q34:T41)</f>
        <v>32</v>
      </c>
    </row>
    <row r="42" spans="2:21" ht="12.75">
      <c r="B42" s="805"/>
      <c r="C42" s="471"/>
      <c r="D42" s="471"/>
      <c r="E42" s="807"/>
      <c r="F42" s="807"/>
      <c r="G42" s="807"/>
      <c r="H42" s="807"/>
      <c r="K42" s="496">
        <f>+SUM(E34:H41)</f>
        <v>468.6000000000001</v>
      </c>
      <c r="L42" s="496"/>
      <c r="M42" s="496"/>
      <c r="N42" s="496"/>
      <c r="O42" s="496"/>
      <c r="Q42" s="524"/>
      <c r="R42" s="524"/>
      <c r="S42" s="524"/>
      <c r="T42" s="524"/>
      <c r="U42" s="525"/>
    </row>
    <row r="43" spans="2:21" ht="12.75">
      <c r="B43" s="805"/>
      <c r="C43" s="471"/>
      <c r="D43" s="471"/>
      <c r="E43" s="493"/>
      <c r="F43" s="493"/>
      <c r="G43" s="493"/>
      <c r="H43" s="493"/>
      <c r="L43" s="496"/>
      <c r="M43" s="496"/>
      <c r="N43" s="496"/>
      <c r="O43" s="496"/>
      <c r="Q43" s="524"/>
      <c r="R43" s="524"/>
      <c r="S43" s="524"/>
      <c r="T43" s="524"/>
      <c r="U43" s="525"/>
    </row>
    <row r="44" spans="2:20" ht="12.75" customHeight="1">
      <c r="B44" s="555"/>
      <c r="C44" s="556"/>
      <c r="D44" s="556" t="s">
        <v>50</v>
      </c>
      <c r="E44" s="966" t="s">
        <v>318</v>
      </c>
      <c r="F44" s="966"/>
      <c r="G44" s="967"/>
      <c r="H44" s="892"/>
      <c r="Q44" s="524"/>
      <c r="R44" s="524"/>
      <c r="S44" s="524"/>
      <c r="T44" s="524"/>
    </row>
    <row r="45" spans="2:20" ht="24">
      <c r="B45" s="559" t="s">
        <v>130</v>
      </c>
      <c r="C45" s="560" t="s">
        <v>3</v>
      </c>
      <c r="D45" s="559" t="s">
        <v>319</v>
      </c>
      <c r="E45" s="561" t="s">
        <v>259</v>
      </c>
      <c r="F45" s="561" t="s">
        <v>261</v>
      </c>
      <c r="G45" s="562" t="s">
        <v>329</v>
      </c>
      <c r="Q45" s="524"/>
      <c r="R45" s="524"/>
      <c r="S45" s="524"/>
      <c r="T45" s="524"/>
    </row>
    <row r="46" spans="2:20" ht="12.75">
      <c r="B46" s="563"/>
      <c r="C46" s="564"/>
      <c r="D46" s="563"/>
      <c r="E46" s="565"/>
      <c r="F46" s="565"/>
      <c r="G46" s="546" t="s">
        <v>330</v>
      </c>
      <c r="Q46" s="524"/>
      <c r="R46" s="524"/>
      <c r="S46" s="524"/>
      <c r="T46" s="524"/>
    </row>
    <row r="47" spans="2:20" ht="12.75">
      <c r="B47" s="484"/>
      <c r="C47" s="818" t="s">
        <v>320</v>
      </c>
      <c r="D47" s="485" t="s">
        <v>321</v>
      </c>
      <c r="E47" s="488">
        <f>+ROUND('Resolución 138-2019-OS_CD'!E41*Factores!$B$20,2)</f>
        <v>7.17</v>
      </c>
      <c r="F47" s="488">
        <f>+ROUND('Resolución 138-2019-OS_CD'!F41*Factores!$B$20,2)</f>
        <v>6.95</v>
      </c>
      <c r="G47" s="908">
        <f>+ROUND('Resolución 138-2019-OS_CD'!G41*Factores!$B$20,2)</f>
        <v>11.35</v>
      </c>
      <c r="L47" s="496">
        <v>5</v>
      </c>
      <c r="M47" s="496">
        <v>4.61</v>
      </c>
      <c r="N47" s="496">
        <v>4.93</v>
      </c>
      <c r="O47" s="496">
        <v>7.97</v>
      </c>
      <c r="Q47" s="524">
        <f aca="true" t="shared" si="6" ref="Q47:Q54">+IF(L47=E47,0,1)</f>
        <v>1</v>
      </c>
      <c r="R47" s="524" t="e">
        <f>+IF(M47=#REF!,0,1)</f>
        <v>#REF!</v>
      </c>
      <c r="S47" s="524">
        <f aca="true" t="shared" si="7" ref="S47:T54">+IF(N47=F47,0,1)</f>
        <v>1</v>
      </c>
      <c r="T47" s="524">
        <f t="shared" si="7"/>
        <v>1</v>
      </c>
    </row>
    <row r="48" spans="2:20" ht="12.75">
      <c r="B48" s="474"/>
      <c r="C48" s="813"/>
      <c r="D48" s="482" t="s">
        <v>322</v>
      </c>
      <c r="E48" s="488">
        <f>+ROUND('Resolución 138-2019-OS_CD'!E42*Factores!$B$20,2)</f>
        <v>9.78</v>
      </c>
      <c r="F48" s="488">
        <f>+ROUND('Resolución 138-2019-OS_CD'!F42*Factores!$B$20,2)</f>
        <v>9.52</v>
      </c>
      <c r="G48" s="908">
        <f>+ROUND('Resolución 138-2019-OS_CD'!G42*Factores!$B$20,2)</f>
        <v>15.04</v>
      </c>
      <c r="L48" s="496">
        <v>6.41</v>
      </c>
      <c r="M48" s="496">
        <v>5.85</v>
      </c>
      <c r="N48" s="496">
        <v>6.32</v>
      </c>
      <c r="O48" s="496">
        <v>9.93</v>
      </c>
      <c r="Q48" s="524">
        <f t="shared" si="6"/>
        <v>1</v>
      </c>
      <c r="R48" s="524" t="e">
        <f>+IF(M48=#REF!,0,1)</f>
        <v>#REF!</v>
      </c>
      <c r="S48" s="524">
        <f t="shared" si="7"/>
        <v>1</v>
      </c>
      <c r="T48" s="524">
        <f t="shared" si="7"/>
        <v>1</v>
      </c>
    </row>
    <row r="49" spans="2:20" ht="12.75">
      <c r="B49" s="474" t="s">
        <v>323</v>
      </c>
      <c r="C49" s="813"/>
      <c r="D49" s="482" t="s">
        <v>324</v>
      </c>
      <c r="E49" s="488">
        <f>+ROUND('Resolución 138-2019-OS_CD'!E43*Factores!$B$20,2)</f>
        <v>10.53</v>
      </c>
      <c r="F49" s="488">
        <f>+ROUND('Resolución 138-2019-OS_CD'!F43*Factores!$B$20,2)</f>
        <v>10.24</v>
      </c>
      <c r="G49" s="908">
        <f>+ROUND('Resolución 138-2019-OS_CD'!G43*Factores!$B$20,2)</f>
        <v>16.03</v>
      </c>
      <c r="L49" s="496">
        <v>6.46</v>
      </c>
      <c r="M49" s="496">
        <v>5.93</v>
      </c>
      <c r="N49" s="496">
        <v>6.37</v>
      </c>
      <c r="O49" s="496">
        <v>9.97</v>
      </c>
      <c r="Q49" s="524">
        <f t="shared" si="6"/>
        <v>1</v>
      </c>
      <c r="R49" s="524" t="e">
        <f>+IF(M49=#REF!,0,1)</f>
        <v>#REF!</v>
      </c>
      <c r="S49" s="524">
        <f t="shared" si="7"/>
        <v>1</v>
      </c>
      <c r="T49" s="524">
        <f t="shared" si="7"/>
        <v>1</v>
      </c>
    </row>
    <row r="50" spans="2:20" ht="12.75">
      <c r="B50" s="474" t="s">
        <v>325</v>
      </c>
      <c r="C50" s="813"/>
      <c r="D50" s="482" t="s">
        <v>326</v>
      </c>
      <c r="E50" s="488">
        <f>+ROUND('Resolución 138-2019-OS_CD'!E44*Factores!$B$20,2)</f>
        <v>27</v>
      </c>
      <c r="F50" s="488">
        <f>+ROUND('Resolución 138-2019-OS_CD'!F44*Factores!$B$20,2)</f>
        <v>26.93</v>
      </c>
      <c r="G50" s="908">
        <f>+ROUND('Resolución 138-2019-OS_CD'!G44*Factores!$B$20,2)</f>
        <v>28.41</v>
      </c>
      <c r="L50" s="496">
        <v>21.02</v>
      </c>
      <c r="M50" s="496">
        <v>22.36</v>
      </c>
      <c r="N50" s="496">
        <v>21</v>
      </c>
      <c r="O50" s="496">
        <v>21.76</v>
      </c>
      <c r="Q50" s="524">
        <f t="shared" si="6"/>
        <v>1</v>
      </c>
      <c r="R50" s="524" t="e">
        <f>+IF(M50=#REF!,0,1)</f>
        <v>#REF!</v>
      </c>
      <c r="S50" s="524">
        <f t="shared" si="7"/>
        <v>1</v>
      </c>
      <c r="T50" s="524">
        <f t="shared" si="7"/>
        <v>1</v>
      </c>
    </row>
    <row r="51" spans="2:20" ht="12.75">
      <c r="B51" s="474" t="s">
        <v>327</v>
      </c>
      <c r="C51" s="814" t="s">
        <v>328</v>
      </c>
      <c r="D51" s="473" t="s">
        <v>321</v>
      </c>
      <c r="E51" s="488">
        <f>+ROUND('Resolución 138-2019-OS_CD'!E45*Factores!$B$20,2)</f>
        <v>8.65</v>
      </c>
      <c r="F51" s="488">
        <f>+ROUND('Resolución 138-2019-OS_CD'!F45*Factores!$B$20,2)</f>
        <v>8.38</v>
      </c>
      <c r="G51" s="908">
        <f>+ROUND('Resolución 138-2019-OS_CD'!G45*Factores!$B$20,2)</f>
        <v>13.69</v>
      </c>
      <c r="L51" s="496">
        <v>6.02</v>
      </c>
      <c r="M51" s="496">
        <v>5.55</v>
      </c>
      <c r="N51" s="496">
        <v>5.93</v>
      </c>
      <c r="O51" s="496">
        <v>9.52</v>
      </c>
      <c r="Q51" s="524">
        <f t="shared" si="6"/>
        <v>1</v>
      </c>
      <c r="R51" s="524" t="e">
        <f>+IF(M51=#REF!,0,1)</f>
        <v>#REF!</v>
      </c>
      <c r="S51" s="524">
        <f t="shared" si="7"/>
        <v>1</v>
      </c>
      <c r="T51" s="524">
        <f t="shared" si="7"/>
        <v>1</v>
      </c>
    </row>
    <row r="52" spans="2:20" ht="12.75">
      <c r="B52" s="474"/>
      <c r="C52" s="475"/>
      <c r="D52" s="473" t="s">
        <v>322</v>
      </c>
      <c r="E52" s="488">
        <f>+ROUND('Resolución 138-2019-OS_CD'!E46*Factores!$B$20,2)</f>
        <v>11.22</v>
      </c>
      <c r="F52" s="488">
        <f>+ROUND('Resolución 138-2019-OS_CD'!F46*Factores!$B$20,2)</f>
        <v>10.89</v>
      </c>
      <c r="G52" s="908">
        <f>+ROUND('Resolución 138-2019-OS_CD'!G46*Factores!$B$20,2)</f>
        <v>17.5</v>
      </c>
      <c r="L52" s="496">
        <v>7.96</v>
      </c>
      <c r="M52" s="496">
        <v>7.24</v>
      </c>
      <c r="N52" s="496">
        <v>7.85</v>
      </c>
      <c r="O52" s="496">
        <v>12.33</v>
      </c>
      <c r="Q52" s="524">
        <f t="shared" si="6"/>
        <v>1</v>
      </c>
      <c r="R52" s="524" t="e">
        <f>+IF(M52=#REF!,0,1)</f>
        <v>#REF!</v>
      </c>
      <c r="S52" s="524">
        <f t="shared" si="7"/>
        <v>1</v>
      </c>
      <c r="T52" s="524">
        <f t="shared" si="7"/>
        <v>1</v>
      </c>
    </row>
    <row r="53" spans="2:20" ht="12.75">
      <c r="B53" s="474"/>
      <c r="C53" s="475"/>
      <c r="D53" s="473" t="s">
        <v>324</v>
      </c>
      <c r="E53" s="488">
        <f>+ROUND('Resolución 138-2019-OS_CD'!E47*Factores!$B$20,2)</f>
        <v>12.06</v>
      </c>
      <c r="F53" s="488">
        <f>+ROUND('Resolución 138-2019-OS_CD'!F47*Factores!$B$20,2)</f>
        <v>11.73</v>
      </c>
      <c r="G53" s="908">
        <f>+ROUND('Resolución 138-2019-OS_CD'!G47*Factores!$B$20,2)</f>
        <v>18.6</v>
      </c>
      <c r="L53" s="496">
        <v>8.24</v>
      </c>
      <c r="M53" s="496">
        <v>7.55</v>
      </c>
      <c r="N53" s="496">
        <v>8.13</v>
      </c>
      <c r="O53" s="496">
        <v>12.52</v>
      </c>
      <c r="Q53" s="524">
        <f t="shared" si="6"/>
        <v>1</v>
      </c>
      <c r="R53" s="524" t="e">
        <f>+IF(M53=#REF!,0,1)</f>
        <v>#REF!</v>
      </c>
      <c r="S53" s="524">
        <f t="shared" si="7"/>
        <v>1</v>
      </c>
      <c r="T53" s="524">
        <f t="shared" si="7"/>
        <v>1</v>
      </c>
    </row>
    <row r="54" spans="2:21" ht="12.75">
      <c r="B54" s="478"/>
      <c r="C54" s="479"/>
      <c r="D54" s="483" t="s">
        <v>326</v>
      </c>
      <c r="E54" s="488">
        <f>+ROUND('Resolución 138-2019-OS_CD'!E48*Factores!$B$20,2)</f>
        <v>32.97</v>
      </c>
      <c r="F54" s="488">
        <f>+ROUND('Resolución 138-2019-OS_CD'!F48*Factores!$B$20,2)</f>
        <v>32.95</v>
      </c>
      <c r="G54" s="908">
        <f>+ROUND('Resolución 138-2019-OS_CD'!G48*Factores!$B$20,2)</f>
        <v>33.6</v>
      </c>
      <c r="K54" s="883" t="s">
        <v>430</v>
      </c>
      <c r="L54" s="496">
        <v>25</v>
      </c>
      <c r="M54" s="496">
        <v>26.54</v>
      </c>
      <c r="N54" s="496">
        <v>24.99</v>
      </c>
      <c r="O54" s="496">
        <v>25.41</v>
      </c>
      <c r="Q54" s="524">
        <f t="shared" si="6"/>
        <v>1</v>
      </c>
      <c r="R54" s="524" t="e">
        <f>+IF(M54=#REF!,0,1)</f>
        <v>#REF!</v>
      </c>
      <c r="S54" s="524">
        <f t="shared" si="7"/>
        <v>1</v>
      </c>
      <c r="T54" s="524">
        <f t="shared" si="7"/>
        <v>1</v>
      </c>
      <c r="U54" s="525" t="e">
        <f>+SUM(Q47:T54)</f>
        <v>#REF!</v>
      </c>
    </row>
    <row r="55" spans="2:21" ht="12.75">
      <c r="B55" s="805"/>
      <c r="C55" s="471"/>
      <c r="D55" s="471"/>
      <c r="E55" s="807"/>
      <c r="F55" s="807"/>
      <c r="G55" s="807"/>
      <c r="H55" s="807"/>
      <c r="K55" s="496">
        <f>+SUM(E47:G54)</f>
        <v>391.19</v>
      </c>
      <c r="L55" s="496"/>
      <c r="M55" s="496"/>
      <c r="N55" s="496"/>
      <c r="O55" s="496"/>
      <c r="Q55" s="524"/>
      <c r="R55" s="524"/>
      <c r="S55" s="524"/>
      <c r="T55" s="524"/>
      <c r="U55" s="525"/>
    </row>
    <row r="56" spans="2:21" ht="12.75">
      <c r="B56" s="805"/>
      <c r="C56" s="471"/>
      <c r="D56" s="471"/>
      <c r="E56" s="493"/>
      <c r="F56" s="493"/>
      <c r="G56" s="493"/>
      <c r="H56" s="493"/>
      <c r="L56" s="496"/>
      <c r="M56" s="496"/>
      <c r="N56" s="496"/>
      <c r="O56" s="496"/>
      <c r="Q56" s="524"/>
      <c r="R56" s="524"/>
      <c r="S56" s="524"/>
      <c r="T56" s="524"/>
      <c r="U56" s="525"/>
    </row>
    <row r="57" spans="2:10" ht="12.75">
      <c r="B57" s="566"/>
      <c r="C57" s="539"/>
      <c r="D57" s="539" t="s">
        <v>50</v>
      </c>
      <c r="E57" s="567"/>
      <c r="F57" s="568" t="s">
        <v>318</v>
      </c>
      <c r="G57" s="542"/>
      <c r="H57" s="542"/>
      <c r="I57" s="543"/>
      <c r="J57" s="543"/>
    </row>
    <row r="58" spans="2:10" ht="12.75">
      <c r="B58" s="569"/>
      <c r="C58" s="570"/>
      <c r="D58" s="569"/>
      <c r="E58" s="570"/>
      <c r="F58" s="569"/>
      <c r="G58" s="571" t="s">
        <v>331</v>
      </c>
      <c r="H58" s="569"/>
      <c r="I58" s="913" t="s">
        <v>331</v>
      </c>
      <c r="J58" s="925" t="s">
        <v>332</v>
      </c>
    </row>
    <row r="59" spans="2:10" ht="12.75">
      <c r="B59" s="572" t="s">
        <v>130</v>
      </c>
      <c r="C59" s="573" t="s">
        <v>3</v>
      </c>
      <c r="D59" s="572" t="s">
        <v>319</v>
      </c>
      <c r="E59" s="574" t="s">
        <v>333</v>
      </c>
      <c r="F59" s="575" t="s">
        <v>334</v>
      </c>
      <c r="G59" s="574" t="s">
        <v>335</v>
      </c>
      <c r="H59" s="575" t="s">
        <v>336</v>
      </c>
      <c r="I59" s="909" t="s">
        <v>337</v>
      </c>
      <c r="J59" s="926" t="s">
        <v>338</v>
      </c>
    </row>
    <row r="60" spans="2:10" ht="12.75">
      <c r="B60" s="563"/>
      <c r="C60" s="564"/>
      <c r="D60" s="563"/>
      <c r="E60" s="565"/>
      <c r="F60" s="546"/>
      <c r="G60" s="565"/>
      <c r="H60" s="546"/>
      <c r="I60" s="911" t="s">
        <v>338</v>
      </c>
      <c r="J60" s="912"/>
    </row>
    <row r="61" spans="2:22" ht="12.75">
      <c r="B61" s="487"/>
      <c r="C61" s="818" t="s">
        <v>339</v>
      </c>
      <c r="D61" s="485" t="s">
        <v>340</v>
      </c>
      <c r="E61" s="488" t="s">
        <v>341</v>
      </c>
      <c r="F61" s="488">
        <f>+ROUND('Resolución 138-2019-OS_CD'!F54*Factores!$B$20,2)</f>
        <v>58.68</v>
      </c>
      <c r="G61" s="488">
        <f>+ROUND('Resolución 138-2019-OS_CD'!G54*Factores!$B$20,2)</f>
        <v>54.68</v>
      </c>
      <c r="H61" s="488">
        <f>+ROUND('Resolución 138-2019-OS_CD'!H54*Factores!$B$20,2)</f>
        <v>58.63</v>
      </c>
      <c r="I61" s="333">
        <f>+ROUND('Resolución 138-2019-OS_CD'!I54*Factores!$B$20,2)</f>
        <v>55.56</v>
      </c>
      <c r="J61" s="333">
        <f>+ROUND('Resolución 138-2019-OS_CD'!J54*Factores!$B$20,2)</f>
        <v>59.48</v>
      </c>
      <c r="K61" s="496"/>
      <c r="L61" s="496">
        <v>45.97</v>
      </c>
      <c r="M61" s="496">
        <v>42.98</v>
      </c>
      <c r="N61" s="496">
        <v>45.37</v>
      </c>
      <c r="O61" s="496">
        <v>45.73</v>
      </c>
      <c r="P61" s="496">
        <v>44.72</v>
      </c>
      <c r="R61" s="496">
        <f>+IF(L61=F61,0,1)</f>
        <v>1</v>
      </c>
      <c r="S61" s="496">
        <f>+IF(M61=G61,0,1)</f>
        <v>1</v>
      </c>
      <c r="T61" s="496">
        <f>+IF(N61=H61,0,1)</f>
        <v>1</v>
      </c>
      <c r="U61" s="496">
        <f>+IF(O61=I61,0,1)</f>
        <v>1</v>
      </c>
      <c r="V61" s="496">
        <f>+IF(P61=J61,0,1)</f>
        <v>1</v>
      </c>
    </row>
    <row r="62" spans="2:22" ht="12.75">
      <c r="B62" s="474" t="s">
        <v>323</v>
      </c>
      <c r="C62" s="813"/>
      <c r="D62" s="473" t="s">
        <v>342</v>
      </c>
      <c r="E62" s="489" t="s">
        <v>341</v>
      </c>
      <c r="F62" s="488">
        <f>+ROUND('Resolución 138-2019-OS_CD'!F55*Factores!$B$20,2)</f>
        <v>55.69</v>
      </c>
      <c r="G62" s="488">
        <f>+ROUND('Resolución 138-2019-OS_CD'!G55*Factores!$B$20,2)</f>
        <v>55.69</v>
      </c>
      <c r="H62" s="488">
        <f>+ROUND('Resolución 138-2019-OS_CD'!H55*Factores!$B$20,2)</f>
        <v>59.43</v>
      </c>
      <c r="I62" s="333">
        <f>+ROUND('Resolución 138-2019-OS_CD'!I55*Factores!$B$20,2)</f>
        <v>57.87</v>
      </c>
      <c r="J62" s="333">
        <f>+ROUND('Resolución 138-2019-OS_CD'!J55*Factores!$B$20,2)</f>
        <v>61.54</v>
      </c>
      <c r="K62" s="496"/>
      <c r="L62" s="496">
        <v>43.22</v>
      </c>
      <c r="M62" s="496">
        <v>43.22</v>
      </c>
      <c r="N62" s="496">
        <v>45.58</v>
      </c>
      <c r="O62" s="496">
        <v>43.52</v>
      </c>
      <c r="P62" s="496">
        <v>45.76</v>
      </c>
      <c r="R62" s="496">
        <f>+IF(L62=F62,0,1)</f>
        <v>1</v>
      </c>
      <c r="S62" s="496">
        <f>+IF(M62=G62,0,1)</f>
        <v>1</v>
      </c>
      <c r="T62" s="496">
        <f>+IF(N62=H62,0,1)</f>
        <v>1</v>
      </c>
      <c r="U62" s="496">
        <f>+IF(O62=I62,0,1)</f>
        <v>1</v>
      </c>
      <c r="V62" s="496">
        <f>+IF(P62=J62,0,1)</f>
        <v>1</v>
      </c>
    </row>
    <row r="63" spans="2:22" ht="12.75">
      <c r="B63" s="474" t="s">
        <v>325</v>
      </c>
      <c r="C63" s="813"/>
      <c r="D63" s="473" t="s">
        <v>343</v>
      </c>
      <c r="E63" s="489" t="s">
        <v>341</v>
      </c>
      <c r="F63" s="488">
        <f>+ROUND('Resolución 138-2019-OS_CD'!F56*Factores!$B$20,2)</f>
        <v>55.69</v>
      </c>
      <c r="G63" s="488">
        <f>+ROUND('Resolución 138-2019-OS_CD'!G56*Factores!$B$20,2)</f>
        <v>55.69</v>
      </c>
      <c r="H63" s="488">
        <f>+ROUND('Resolución 138-2019-OS_CD'!H56*Factores!$B$20,2)</f>
        <v>59.43</v>
      </c>
      <c r="I63" s="333">
        <f>+ROUND('Resolución 138-2019-OS_CD'!I56*Factores!$B$20,2)</f>
        <v>57.87</v>
      </c>
      <c r="J63" s="333">
        <f>+ROUND('Resolución 138-2019-OS_CD'!J56*Factores!$B$20,2)</f>
        <v>61.54</v>
      </c>
      <c r="K63" s="496"/>
      <c r="L63" s="496">
        <v>43.22</v>
      </c>
      <c r="M63" s="496">
        <v>43.22</v>
      </c>
      <c r="N63" s="496">
        <v>45.58</v>
      </c>
      <c r="O63" s="496">
        <v>43.52</v>
      </c>
      <c r="P63" s="496">
        <v>45.76</v>
      </c>
      <c r="R63" s="496">
        <f>+IF(L63=F63,0,1)</f>
        <v>1</v>
      </c>
      <c r="S63" s="496">
        <f>+IF(M63=G63,0,1)</f>
        <v>1</v>
      </c>
      <c r="T63" s="496">
        <f>+IF(N63=H63,0,1)</f>
        <v>1</v>
      </c>
      <c r="U63" s="496">
        <f>+IF(O63=I63,0,1)</f>
        <v>1</v>
      </c>
      <c r="V63" s="496">
        <f>+IF(P63=J63,0,1)</f>
        <v>1</v>
      </c>
    </row>
    <row r="64" spans="2:22" ht="12.75">
      <c r="B64" s="474" t="s">
        <v>327</v>
      </c>
      <c r="C64" s="819" t="s">
        <v>344</v>
      </c>
      <c r="D64" s="490" t="s">
        <v>345</v>
      </c>
      <c r="E64" s="491" t="s">
        <v>341</v>
      </c>
      <c r="F64" s="488">
        <f>+ROUND('Resolución 138-2019-OS_CD'!F57*Factores!$B$20,2)</f>
        <v>96.66</v>
      </c>
      <c r="G64" s="488">
        <f>+ROUND('Resolución 138-2019-OS_CD'!G57*Factores!$B$20,2)</f>
        <v>96.66</v>
      </c>
      <c r="H64" s="488">
        <f>+ROUND('Resolución 138-2019-OS_CD'!H57*Factores!$B$20,2)</f>
        <v>104.12</v>
      </c>
      <c r="I64" s="333">
        <f>+ROUND('Resolución 138-2019-OS_CD'!I57*Factores!$B$20,2)</f>
        <v>98.39</v>
      </c>
      <c r="J64" s="333">
        <f>+ROUND('Resolución 138-2019-OS_CD'!J57*Factores!$B$20,2)</f>
        <v>105.76</v>
      </c>
      <c r="K64" s="496"/>
      <c r="L64" s="496">
        <v>74.99</v>
      </c>
      <c r="M64" s="496">
        <v>74.99</v>
      </c>
      <c r="N64" s="496">
        <v>79.69</v>
      </c>
      <c r="O64" s="496">
        <v>74.13</v>
      </c>
      <c r="P64" s="496">
        <v>78.67</v>
      </c>
      <c r="R64" s="496">
        <f>+IF(L64=F64,0,1)</f>
        <v>1</v>
      </c>
      <c r="S64" s="496">
        <f>+IF(M64=G64,0,1)</f>
        <v>1</v>
      </c>
      <c r="T64" s="496">
        <f>+IF(N64=H64,0,1)</f>
        <v>1</v>
      </c>
      <c r="U64" s="496">
        <f>+IF(O64=I64,0,1)</f>
        <v>1</v>
      </c>
      <c r="V64" s="496">
        <f>+IF(P64=J64,0,1)</f>
        <v>1</v>
      </c>
    </row>
    <row r="65" spans="2:22" ht="12.75">
      <c r="B65" s="474"/>
      <c r="C65" s="475"/>
      <c r="D65" s="490" t="s">
        <v>346</v>
      </c>
      <c r="E65" s="491" t="s">
        <v>341</v>
      </c>
      <c r="F65" s="488">
        <f>+ROUND('Resolución 138-2019-OS_CD'!F58*Factores!$B$20,2)</f>
        <v>72.59</v>
      </c>
      <c r="G65" s="488">
        <f>+ROUND('Resolución 138-2019-OS_CD'!G58*Factores!$B$20,2)</f>
        <v>72.59</v>
      </c>
      <c r="H65" s="488">
        <f>+ROUND('Resolución 138-2019-OS_CD'!H58*Factores!$B$20,2)</f>
        <v>78.49</v>
      </c>
      <c r="I65" s="333">
        <f>+ROUND('Resolución 138-2019-OS_CD'!I58*Factores!$B$20,2)</f>
        <v>73.14</v>
      </c>
      <c r="J65" s="333">
        <f>+ROUND('Resolución 138-2019-OS_CD'!J58*Factores!$B$20,2)</f>
        <v>79.08</v>
      </c>
      <c r="K65" s="496"/>
      <c r="L65" s="496">
        <v>55.77</v>
      </c>
      <c r="M65" s="496">
        <v>55.77</v>
      </c>
      <c r="N65" s="496">
        <v>59.54</v>
      </c>
      <c r="O65" s="496">
        <v>54.55</v>
      </c>
      <c r="P65" s="496">
        <v>58.17</v>
      </c>
      <c r="R65" s="496">
        <f>+IF(L65=F65,0,1)</f>
        <v>1</v>
      </c>
      <c r="S65" s="496">
        <f>+IF(M65=G65,0,1)</f>
        <v>1</v>
      </c>
      <c r="T65" s="496">
        <f>+IF(N65=H65,0,1)</f>
        <v>1</v>
      </c>
      <c r="U65" s="496">
        <f>+IF(O65=I65,0,1)</f>
        <v>1</v>
      </c>
      <c r="V65" s="496">
        <f>+IF(P65=J65,0,1)</f>
        <v>1</v>
      </c>
    </row>
    <row r="66" spans="2:23" ht="12.75">
      <c r="B66" s="492"/>
      <c r="C66" s="479"/>
      <c r="D66" s="483" t="s">
        <v>347</v>
      </c>
      <c r="E66" s="491" t="s">
        <v>341</v>
      </c>
      <c r="F66" s="488">
        <f>+ROUND('Resolución 138-2019-OS_CD'!F59*Factores!$B$20,2)</f>
        <v>72.59</v>
      </c>
      <c r="G66" s="488">
        <f>+ROUND('Resolución 138-2019-OS_CD'!G59*Factores!$B$20,2)</f>
        <v>72.59</v>
      </c>
      <c r="H66" s="488">
        <f>+ROUND('Resolución 138-2019-OS_CD'!H59*Factores!$B$20,2)</f>
        <v>78.49</v>
      </c>
      <c r="I66" s="333">
        <f>+ROUND('Resolución 138-2019-OS_CD'!I59*Factores!$B$20,2)</f>
        <v>73.14</v>
      </c>
      <c r="J66" s="333">
        <f>+ROUND('Resolución 138-2019-OS_CD'!J59*Factores!$B$20,2)</f>
        <v>79.08</v>
      </c>
      <c r="K66" s="883" t="s">
        <v>430</v>
      </c>
      <c r="L66" s="496">
        <v>55.77</v>
      </c>
      <c r="M66" s="496">
        <v>55.77</v>
      </c>
      <c r="N66" s="496">
        <v>59.54</v>
      </c>
      <c r="O66" s="496">
        <v>54.55</v>
      </c>
      <c r="P66" s="496">
        <v>58.17</v>
      </c>
      <c r="R66" s="496">
        <f>+IF(L66=F66,0,1)</f>
        <v>1</v>
      </c>
      <c r="S66" s="496">
        <f>+IF(M66=G66,0,1)</f>
        <v>1</v>
      </c>
      <c r="T66" s="496">
        <f>+IF(N66=H66,0,1)</f>
        <v>1</v>
      </c>
      <c r="U66" s="496">
        <f>+IF(O66=I66,0,1)</f>
        <v>1</v>
      </c>
      <c r="V66" s="496">
        <f>+IF(P66=J66,0,1)</f>
        <v>1</v>
      </c>
      <c r="W66" s="525">
        <f>+SUM(R61:V66)</f>
        <v>30</v>
      </c>
    </row>
    <row r="67" spans="2:23" ht="12.75">
      <c r="B67" s="806"/>
      <c r="C67" s="471"/>
      <c r="D67" s="471"/>
      <c r="E67" s="807"/>
      <c r="F67" s="807"/>
      <c r="G67" s="807"/>
      <c r="H67" s="807"/>
      <c r="I67" s="807"/>
      <c r="J67" s="807"/>
      <c r="K67" s="496">
        <f>+SUM(F61:J66)</f>
        <v>2120.8399999999997</v>
      </c>
      <c r="L67" s="496"/>
      <c r="M67" s="496"/>
      <c r="N67" s="496"/>
      <c r="O67" s="496"/>
      <c r="P67" s="496"/>
      <c r="R67" s="496"/>
      <c r="S67" s="496"/>
      <c r="T67" s="496"/>
      <c r="U67" s="496"/>
      <c r="V67" s="496"/>
      <c r="W67" s="525"/>
    </row>
    <row r="68" ht="12.75">
      <c r="J68" s="493"/>
    </row>
    <row r="69" spans="2:10" ht="12.75">
      <c r="B69" s="576"/>
      <c r="C69" s="577"/>
      <c r="D69" s="578" t="s">
        <v>50</v>
      </c>
      <c r="E69" s="579"/>
      <c r="F69" s="965" t="s">
        <v>318</v>
      </c>
      <c r="G69" s="965"/>
      <c r="H69" s="965"/>
      <c r="I69" s="965"/>
      <c r="J69" s="965"/>
    </row>
    <row r="70" spans="2:10" ht="12.75">
      <c r="B70" s="580"/>
      <c r="C70" s="580"/>
      <c r="D70" s="580"/>
      <c r="E70" s="580"/>
      <c r="F70" s="392"/>
      <c r="G70" s="394" t="s">
        <v>331</v>
      </c>
      <c r="H70" s="392"/>
      <c r="I70" s="394" t="s">
        <v>331</v>
      </c>
      <c r="J70" s="395" t="s">
        <v>332</v>
      </c>
    </row>
    <row r="71" spans="2:10" ht="12.75">
      <c r="B71" s="581" t="s">
        <v>130</v>
      </c>
      <c r="C71" s="581" t="s">
        <v>3</v>
      </c>
      <c r="D71" s="581" t="s">
        <v>319</v>
      </c>
      <c r="E71" s="582" t="s">
        <v>333</v>
      </c>
      <c r="F71" s="348" t="s">
        <v>334</v>
      </c>
      <c r="G71" s="330" t="s">
        <v>335</v>
      </c>
      <c r="H71" s="348" t="s">
        <v>336</v>
      </c>
      <c r="I71" s="330" t="s">
        <v>337</v>
      </c>
      <c r="J71" s="348" t="s">
        <v>338</v>
      </c>
    </row>
    <row r="72" spans="2:10" ht="12.75">
      <c r="B72" s="584"/>
      <c r="C72" s="584"/>
      <c r="D72" s="584"/>
      <c r="E72" s="585"/>
      <c r="F72" s="280"/>
      <c r="G72" s="318"/>
      <c r="H72" s="280"/>
      <c r="I72" s="318" t="s">
        <v>338</v>
      </c>
      <c r="J72" s="280"/>
    </row>
    <row r="73" spans="2:20" ht="12.75">
      <c r="B73" s="494"/>
      <c r="C73" s="820" t="s">
        <v>320</v>
      </c>
      <c r="D73" s="495" t="s">
        <v>351</v>
      </c>
      <c r="E73" s="488" t="s">
        <v>341</v>
      </c>
      <c r="F73" s="488">
        <f>+ROUND('Resolución 138-2019-OS_CD'!F65*Factores!$B$20,2)</f>
        <v>25.84</v>
      </c>
      <c r="G73" s="488">
        <f>+ROUND('Resolución 138-2019-OS_CD'!G65*Factores!$B$20,2)</f>
        <v>25.12</v>
      </c>
      <c r="H73" s="488">
        <f>+ROUND('Resolución 138-2019-OS_CD'!H65*Factores!$B$20,2)</f>
        <v>29.34</v>
      </c>
      <c r="I73" s="333">
        <f>+ROUND('Resolución 138-2019-OS_CD'!I65*Factores!$B$20,2)</f>
        <v>27.4</v>
      </c>
      <c r="J73" s="333">
        <f>+ROUND('Resolución 138-2019-OS_CD'!J65*Factores!$B$20,2)</f>
        <v>30.18</v>
      </c>
      <c r="L73" s="496">
        <v>27.41</v>
      </c>
      <c r="M73" s="496">
        <v>33</v>
      </c>
      <c r="N73" s="496">
        <v>31.03</v>
      </c>
      <c r="O73" s="496">
        <v>32.85</v>
      </c>
      <c r="Q73" s="496">
        <f aca="true" t="shared" si="8" ref="Q73:T78">+IF(L73=F73,0,1)</f>
        <v>1</v>
      </c>
      <c r="R73" s="496">
        <f t="shared" si="8"/>
        <v>1</v>
      </c>
      <c r="S73" s="496">
        <f t="shared" si="8"/>
        <v>1</v>
      </c>
      <c r="T73" s="496">
        <f t="shared" si="8"/>
        <v>1</v>
      </c>
    </row>
    <row r="74" spans="2:20" ht="12.75">
      <c r="B74" s="497" t="s">
        <v>323</v>
      </c>
      <c r="C74" s="821" t="s">
        <v>328</v>
      </c>
      <c r="D74" s="498" t="s">
        <v>351</v>
      </c>
      <c r="E74" s="491" t="s">
        <v>341</v>
      </c>
      <c r="F74" s="488">
        <f>+ROUND('Resolución 138-2019-OS_CD'!F66*Factores!$B$20,2)</f>
        <v>23.32</v>
      </c>
      <c r="G74" s="488">
        <f>+ROUND('Resolución 138-2019-OS_CD'!G66*Factores!$B$20,2)</f>
        <v>22.68</v>
      </c>
      <c r="H74" s="488">
        <f>+ROUND('Resolución 138-2019-OS_CD'!H66*Factores!$B$20,2)</f>
        <v>27.87</v>
      </c>
      <c r="I74" s="333">
        <f>+ROUND('Resolución 138-2019-OS_CD'!I66*Factores!$B$20,2)</f>
        <v>25.12</v>
      </c>
      <c r="J74" s="333">
        <f>+ROUND('Resolución 138-2019-OS_CD'!J66*Factores!$B$20,2)</f>
        <v>28.12</v>
      </c>
      <c r="L74" s="496">
        <v>27.41</v>
      </c>
      <c r="M74" s="496">
        <v>29.29</v>
      </c>
      <c r="N74" s="496">
        <v>26.84</v>
      </c>
      <c r="O74" s="496">
        <v>28.66</v>
      </c>
      <c r="Q74" s="496">
        <f t="shared" si="8"/>
        <v>1</v>
      </c>
      <c r="R74" s="496">
        <f t="shared" si="8"/>
        <v>1</v>
      </c>
      <c r="S74" s="496">
        <f t="shared" si="8"/>
        <v>1</v>
      </c>
      <c r="T74" s="496">
        <f t="shared" si="8"/>
        <v>1</v>
      </c>
    </row>
    <row r="75" spans="2:20" ht="12.75">
      <c r="B75" s="497" t="s">
        <v>325</v>
      </c>
      <c r="C75" s="821" t="s">
        <v>339</v>
      </c>
      <c r="D75" s="498" t="s">
        <v>352</v>
      </c>
      <c r="E75" s="491" t="s">
        <v>341</v>
      </c>
      <c r="F75" s="488">
        <f>+ROUND('Resolución 138-2019-OS_CD'!F67*Factores!$B$20,2)</f>
        <v>186.49</v>
      </c>
      <c r="G75" s="488">
        <f>+ROUND('Resolución 138-2019-OS_CD'!G67*Factores!$B$20,2)</f>
        <v>186.49</v>
      </c>
      <c r="H75" s="488">
        <f>+ROUND('Resolución 138-2019-OS_CD'!H67*Factores!$B$20,2)</f>
        <v>193.95</v>
      </c>
      <c r="I75" s="333">
        <f>+ROUND('Resolución 138-2019-OS_CD'!I67*Factores!$B$20,2)</f>
        <v>202.17</v>
      </c>
      <c r="J75" s="333">
        <f>+ROUND('Resolución 138-2019-OS_CD'!J67*Factores!$B$20,2)</f>
        <v>209.58</v>
      </c>
      <c r="L75" s="496">
        <v>134.36</v>
      </c>
      <c r="M75" s="496">
        <v>139.05</v>
      </c>
      <c r="N75" s="496">
        <v>135.79</v>
      </c>
      <c r="O75" s="496">
        <v>140.3</v>
      </c>
      <c r="Q75" s="496">
        <f t="shared" si="8"/>
        <v>1</v>
      </c>
      <c r="R75" s="496">
        <f t="shared" si="8"/>
        <v>1</v>
      </c>
      <c r="S75" s="496">
        <f t="shared" si="8"/>
        <v>1</v>
      </c>
      <c r="T75" s="496">
        <f t="shared" si="8"/>
        <v>1</v>
      </c>
    </row>
    <row r="76" spans="2:20" ht="12.75">
      <c r="B76" s="497" t="s">
        <v>327</v>
      </c>
      <c r="C76" s="820"/>
      <c r="D76" s="498" t="s">
        <v>353</v>
      </c>
      <c r="E76" s="491" t="s">
        <v>341</v>
      </c>
      <c r="F76" s="488">
        <f>+ROUND('Resolución 138-2019-OS_CD'!F68*Factores!$B$20,2)</f>
        <v>186.49</v>
      </c>
      <c r="G76" s="488">
        <f>+ROUND('Resolución 138-2019-OS_CD'!G68*Factores!$B$20,2)</f>
        <v>186.49</v>
      </c>
      <c r="H76" s="488">
        <f>+ROUND('Resolución 138-2019-OS_CD'!H68*Factores!$B$20,2)</f>
        <v>193.95</v>
      </c>
      <c r="I76" s="333">
        <f>+ROUND('Resolución 138-2019-OS_CD'!I68*Factores!$B$20,2)</f>
        <v>202.17</v>
      </c>
      <c r="J76" s="333">
        <f>+ROUND('Resolución 138-2019-OS_CD'!J68*Factores!$B$20,2)</f>
        <v>209.58</v>
      </c>
      <c r="L76" s="496">
        <v>134.36</v>
      </c>
      <c r="M76" s="496">
        <v>139.05</v>
      </c>
      <c r="N76" s="496">
        <v>135.79</v>
      </c>
      <c r="O76" s="496">
        <v>140.3</v>
      </c>
      <c r="Q76" s="496">
        <f t="shared" si="8"/>
        <v>1</v>
      </c>
      <c r="R76" s="496">
        <f t="shared" si="8"/>
        <v>1</v>
      </c>
      <c r="S76" s="496">
        <f t="shared" si="8"/>
        <v>1</v>
      </c>
      <c r="T76" s="496">
        <f t="shared" si="8"/>
        <v>1</v>
      </c>
    </row>
    <row r="77" spans="2:20" ht="12.75">
      <c r="B77" s="497"/>
      <c r="C77" s="821" t="s">
        <v>344</v>
      </c>
      <c r="D77" s="498" t="s">
        <v>354</v>
      </c>
      <c r="E77" s="491" t="s">
        <v>341</v>
      </c>
      <c r="F77" s="488">
        <f>+ROUND('Resolución 138-2019-OS_CD'!F69*Factores!$B$20,2)</f>
        <v>257.3</v>
      </c>
      <c r="G77" s="488">
        <f>+ROUND('Resolución 138-2019-OS_CD'!G69*Factores!$B$20,2)</f>
        <v>257.3</v>
      </c>
      <c r="H77" s="488">
        <f>+ROUND('Resolución 138-2019-OS_CD'!H69*Factores!$B$20,2)</f>
        <v>267.25</v>
      </c>
      <c r="I77" s="333">
        <f>+ROUND('Resolución 138-2019-OS_CD'!I69*Factores!$B$20,2)</f>
        <v>279.76</v>
      </c>
      <c r="J77" s="333">
        <f>+ROUND('Resolución 138-2019-OS_CD'!J69*Factores!$B$20,2)</f>
        <v>289.63</v>
      </c>
      <c r="L77" s="496">
        <v>192.04</v>
      </c>
      <c r="M77" s="496">
        <v>198.32</v>
      </c>
      <c r="N77" s="496">
        <v>195.63</v>
      </c>
      <c r="O77" s="496">
        <v>201.64</v>
      </c>
      <c r="Q77" s="496">
        <f t="shared" si="8"/>
        <v>1</v>
      </c>
      <c r="R77" s="496">
        <f t="shared" si="8"/>
        <v>1</v>
      </c>
      <c r="S77" s="496">
        <f t="shared" si="8"/>
        <v>1</v>
      </c>
      <c r="T77" s="496">
        <f t="shared" si="8"/>
        <v>1</v>
      </c>
    </row>
    <row r="78" spans="2:21" ht="12.75">
      <c r="B78" s="492"/>
      <c r="C78" s="499"/>
      <c r="D78" s="498" t="s">
        <v>355</v>
      </c>
      <c r="E78" s="491" t="s">
        <v>341</v>
      </c>
      <c r="F78" s="488">
        <f>+ROUND('Resolución 138-2019-OS_CD'!F70*Factores!$B$20,2)</f>
        <v>257.3</v>
      </c>
      <c r="G78" s="488">
        <f>+ROUND('Resolución 138-2019-OS_CD'!G70*Factores!$B$20,2)</f>
        <v>257.3</v>
      </c>
      <c r="H78" s="488">
        <f>+ROUND('Resolución 138-2019-OS_CD'!H70*Factores!$B$20,2)</f>
        <v>267.25</v>
      </c>
      <c r="I78" s="333">
        <f>+ROUND('Resolución 138-2019-OS_CD'!I70*Factores!$B$20,2)</f>
        <v>279.76</v>
      </c>
      <c r="J78" s="333">
        <f>+ROUND('Resolución 138-2019-OS_CD'!J70*Factores!$B$20,2)</f>
        <v>289.63</v>
      </c>
      <c r="K78" s="883" t="s">
        <v>430</v>
      </c>
      <c r="L78" s="496">
        <v>192.04</v>
      </c>
      <c r="M78" s="496">
        <v>198.32</v>
      </c>
      <c r="N78" s="496">
        <v>195.63</v>
      </c>
      <c r="O78" s="496">
        <v>201.64</v>
      </c>
      <c r="Q78" s="496">
        <f t="shared" si="8"/>
        <v>1</v>
      </c>
      <c r="R78" s="496">
        <f t="shared" si="8"/>
        <v>1</v>
      </c>
      <c r="S78" s="496">
        <f t="shared" si="8"/>
        <v>1</v>
      </c>
      <c r="T78" s="496">
        <f t="shared" si="8"/>
        <v>1</v>
      </c>
      <c r="U78" s="525">
        <f>+SUM(Q73:T78)</f>
        <v>24</v>
      </c>
    </row>
    <row r="79" spans="9:11" ht="12.75">
      <c r="I79"/>
      <c r="J79"/>
      <c r="K79" s="496">
        <f>+SUM(F73:J78)</f>
        <v>4924.830000000002</v>
      </c>
    </row>
    <row r="81" spans="2:8" ht="18.75">
      <c r="B81" s="953" t="s">
        <v>402</v>
      </c>
      <c r="C81" s="953"/>
      <c r="D81" s="953"/>
      <c r="E81" s="953"/>
      <c r="F81" s="953"/>
      <c r="G81" s="953"/>
      <c r="H81" s="953"/>
    </row>
    <row r="82" spans="2:8" ht="18.75">
      <c r="B82" s="534"/>
      <c r="C82" s="534"/>
      <c r="D82" s="534"/>
      <c r="E82" s="534"/>
      <c r="F82" s="534"/>
      <c r="G82" s="534"/>
      <c r="H82" s="534"/>
    </row>
    <row r="83" spans="2:10" ht="12.75">
      <c r="B83" s="578" t="s">
        <v>50</v>
      </c>
      <c r="C83" s="577"/>
      <c r="D83" s="577"/>
      <c r="E83" s="960" t="s">
        <v>318</v>
      </c>
      <c r="F83" s="961"/>
      <c r="G83" s="961"/>
      <c r="H83" s="962"/>
      <c r="I83" s="500"/>
      <c r="J83" s="500"/>
    </row>
    <row r="84" spans="2:10" ht="12.75">
      <c r="B84" s="586" t="s">
        <v>130</v>
      </c>
      <c r="C84" s="587" t="s">
        <v>3</v>
      </c>
      <c r="D84" s="587" t="s">
        <v>319</v>
      </c>
      <c r="E84" s="588" t="s">
        <v>248</v>
      </c>
      <c r="F84" s="588" t="s">
        <v>249</v>
      </c>
      <c r="G84" s="588" t="s">
        <v>250</v>
      </c>
      <c r="H84" s="588" t="s">
        <v>251</v>
      </c>
      <c r="I84" s="486"/>
      <c r="J84" s="486"/>
    </row>
    <row r="85" spans="2:21" ht="12.75">
      <c r="B85" s="501"/>
      <c r="C85" s="815" t="s">
        <v>320</v>
      </c>
      <c r="D85" s="490" t="s">
        <v>321</v>
      </c>
      <c r="E85" s="491">
        <f>+ROUND('Resolución 138-2019-OS_CD'!E78*Factores!$B$20,2)</f>
        <v>13.47</v>
      </c>
      <c r="F85" s="491">
        <f>+ROUND('Resolución 138-2019-OS_CD'!F78*Factores!$B$20,2)</f>
        <v>7.4</v>
      </c>
      <c r="G85" s="491">
        <f>+ROUND('Resolución 138-2019-OS_CD'!G78*Factores!$B$20,2)</f>
        <v>7.37</v>
      </c>
      <c r="H85" s="491">
        <f>+ROUND('Resolución 138-2019-OS_CD'!H78*Factores!$B$20,2)</f>
        <v>7.24</v>
      </c>
      <c r="I85" s="493"/>
      <c r="L85" s="493">
        <v>9.75</v>
      </c>
      <c r="M85" s="493">
        <v>6.03</v>
      </c>
      <c r="N85" s="493">
        <v>5.73</v>
      </c>
      <c r="O85" s="493">
        <v>5.58</v>
      </c>
      <c r="R85" s="470">
        <f aca="true" t="shared" si="9" ref="R85:U92">+IF(L85=E85,0,1)</f>
        <v>1</v>
      </c>
      <c r="S85" s="470">
        <f t="shared" si="9"/>
        <v>1</v>
      </c>
      <c r="T85" s="470">
        <f t="shared" si="9"/>
        <v>1</v>
      </c>
      <c r="U85" s="470">
        <f t="shared" si="9"/>
        <v>1</v>
      </c>
    </row>
    <row r="86" spans="2:21" ht="12.75">
      <c r="B86" s="494"/>
      <c r="C86" s="813"/>
      <c r="D86" s="490" t="s">
        <v>322</v>
      </c>
      <c r="E86" s="491">
        <f>+ROUND('Resolución 138-2019-OS_CD'!E79*Factores!$B$20,2)</f>
        <v>16.73</v>
      </c>
      <c r="F86" s="491">
        <f>+ROUND('Resolución 138-2019-OS_CD'!F79*Factores!$B$20,2)</f>
        <v>9.48</v>
      </c>
      <c r="G86" s="491">
        <f>+ROUND('Resolución 138-2019-OS_CD'!G79*Factores!$B$20,2)</f>
        <v>9.46</v>
      </c>
      <c r="H86" s="491">
        <f>+ROUND('Resolución 138-2019-OS_CD'!H79*Factores!$B$20,2)</f>
        <v>9.37</v>
      </c>
      <c r="I86" s="493"/>
      <c r="L86" s="493">
        <v>13.71</v>
      </c>
      <c r="M86" s="493">
        <v>8.8</v>
      </c>
      <c r="N86" s="493">
        <v>8.19</v>
      </c>
      <c r="O86" s="493">
        <v>8.2</v>
      </c>
      <c r="R86" s="470">
        <f t="shared" si="9"/>
        <v>1</v>
      </c>
      <c r="S86" s="470">
        <f t="shared" si="9"/>
        <v>1</v>
      </c>
      <c r="T86" s="470">
        <f t="shared" si="9"/>
        <v>1</v>
      </c>
      <c r="U86" s="470">
        <f t="shared" si="9"/>
        <v>1</v>
      </c>
    </row>
    <row r="87" spans="2:21" ht="12.75">
      <c r="B87" s="497" t="s">
        <v>357</v>
      </c>
      <c r="C87" s="813"/>
      <c r="D87" s="490" t="s">
        <v>324</v>
      </c>
      <c r="E87" s="491">
        <f>+ROUND('Resolución 138-2019-OS_CD'!E80*Factores!$B$20,2)</f>
        <v>16.83</v>
      </c>
      <c r="F87" s="491">
        <f>+ROUND('Resolución 138-2019-OS_CD'!F80*Factores!$B$20,2)</f>
        <v>9.69</v>
      </c>
      <c r="G87" s="491">
        <f>+ROUND('Resolución 138-2019-OS_CD'!G80*Factores!$B$20,2)</f>
        <v>9.67</v>
      </c>
      <c r="H87" s="491">
        <f>+ROUND('Resolución 138-2019-OS_CD'!H80*Factores!$B$20,2)</f>
        <v>9.49</v>
      </c>
      <c r="I87" s="493"/>
      <c r="L87" s="493">
        <v>13.77</v>
      </c>
      <c r="M87" s="493">
        <v>8.88</v>
      </c>
      <c r="N87" s="493">
        <v>8.26</v>
      </c>
      <c r="O87" s="493">
        <v>8.29</v>
      </c>
      <c r="R87" s="470">
        <f t="shared" si="9"/>
        <v>1</v>
      </c>
      <c r="S87" s="470">
        <f t="shared" si="9"/>
        <v>1</v>
      </c>
      <c r="T87" s="470">
        <f t="shared" si="9"/>
        <v>1</v>
      </c>
      <c r="U87" s="470">
        <f t="shared" si="9"/>
        <v>1</v>
      </c>
    </row>
    <row r="88" spans="2:21" ht="12.75">
      <c r="B88" s="497" t="s">
        <v>358</v>
      </c>
      <c r="C88" s="813"/>
      <c r="D88" s="490" t="s">
        <v>326</v>
      </c>
      <c r="E88" s="491">
        <f>+ROUND('Resolución 138-2019-OS_CD'!E81*Factores!$B$20,2)</f>
        <v>28.37</v>
      </c>
      <c r="F88" s="491">
        <f>+ROUND('Resolución 138-2019-OS_CD'!F81*Factores!$B$20,2)</f>
        <v>26.14</v>
      </c>
      <c r="G88" s="491">
        <f>+ROUND('Resolución 138-2019-OS_CD'!G81*Factores!$B$20,2)</f>
        <v>26.14</v>
      </c>
      <c r="H88" s="491">
        <f>+ROUND('Resolución 138-2019-OS_CD'!H81*Factores!$B$20,2)</f>
        <v>26.23</v>
      </c>
      <c r="I88" s="493"/>
      <c r="L88" s="493">
        <v>23.34</v>
      </c>
      <c r="M88" s="493">
        <v>21.96</v>
      </c>
      <c r="N88" s="493">
        <v>23.49</v>
      </c>
      <c r="O88" s="493">
        <v>21.8</v>
      </c>
      <c r="R88" s="470">
        <f t="shared" si="9"/>
        <v>1</v>
      </c>
      <c r="S88" s="470">
        <f t="shared" si="9"/>
        <v>1</v>
      </c>
      <c r="T88" s="470">
        <f t="shared" si="9"/>
        <v>1</v>
      </c>
      <c r="U88" s="470">
        <f t="shared" si="9"/>
        <v>1</v>
      </c>
    </row>
    <row r="89" spans="2:21" ht="12.75">
      <c r="B89" s="497" t="s">
        <v>359</v>
      </c>
      <c r="C89" s="822" t="s">
        <v>328</v>
      </c>
      <c r="D89" s="503" t="s">
        <v>321</v>
      </c>
      <c r="E89" s="491">
        <f>+ROUND('Resolución 138-2019-OS_CD'!E82*Factores!$B$20,2)</f>
        <v>17.5</v>
      </c>
      <c r="F89" s="491">
        <f>+ROUND('Resolución 138-2019-OS_CD'!F82*Factores!$B$20,2)</f>
        <v>10.29</v>
      </c>
      <c r="G89" s="491">
        <f>+ROUND('Resolución 138-2019-OS_CD'!G82*Factores!$B$20,2)</f>
        <v>10.27</v>
      </c>
      <c r="H89" s="491">
        <f>+ROUND('Resolución 138-2019-OS_CD'!H82*Factores!$B$20,2)</f>
        <v>9.99</v>
      </c>
      <c r="I89" s="493"/>
      <c r="L89" s="493">
        <v>12.44</v>
      </c>
      <c r="M89" s="493">
        <v>8.01</v>
      </c>
      <c r="N89" s="493">
        <v>7.73</v>
      </c>
      <c r="O89" s="493">
        <v>7.47</v>
      </c>
      <c r="R89" s="470">
        <f t="shared" si="9"/>
        <v>1</v>
      </c>
      <c r="S89" s="470">
        <f t="shared" si="9"/>
        <v>1</v>
      </c>
      <c r="T89" s="470">
        <f t="shared" si="9"/>
        <v>1</v>
      </c>
      <c r="U89" s="470">
        <f t="shared" si="9"/>
        <v>1</v>
      </c>
    </row>
    <row r="90" spans="2:21" ht="12.75">
      <c r="B90" s="502"/>
      <c r="C90" s="475"/>
      <c r="D90" s="503" t="s">
        <v>322</v>
      </c>
      <c r="E90" s="491">
        <f>+ROUND('Resolución 138-2019-OS_CD'!E83*Factores!$B$20,2)</f>
        <v>20.78</v>
      </c>
      <c r="F90" s="491">
        <f>+ROUND('Resolución 138-2019-OS_CD'!F83*Factores!$B$20,2)</f>
        <v>11.68</v>
      </c>
      <c r="G90" s="491">
        <f>+ROUND('Resolución 138-2019-OS_CD'!G83*Factores!$B$20,2)</f>
        <v>11.65</v>
      </c>
      <c r="H90" s="491">
        <f>+ROUND('Resolución 138-2019-OS_CD'!H83*Factores!$B$20,2)</f>
        <v>11.48</v>
      </c>
      <c r="I90" s="493"/>
      <c r="L90" s="493">
        <v>15.81</v>
      </c>
      <c r="M90" s="493">
        <v>10.18</v>
      </c>
      <c r="N90" s="493">
        <v>9.52</v>
      </c>
      <c r="O90" s="493">
        <v>9.5</v>
      </c>
      <c r="R90" s="470">
        <f t="shared" si="9"/>
        <v>1</v>
      </c>
      <c r="S90" s="470">
        <f t="shared" si="9"/>
        <v>1</v>
      </c>
      <c r="T90" s="470">
        <f t="shared" si="9"/>
        <v>1</v>
      </c>
      <c r="U90" s="470">
        <f t="shared" si="9"/>
        <v>1</v>
      </c>
    </row>
    <row r="91" spans="2:21" ht="12.75">
      <c r="B91" s="502"/>
      <c r="C91" s="475"/>
      <c r="D91" s="503" t="s">
        <v>324</v>
      </c>
      <c r="E91" s="491">
        <f>+ROUND('Resolución 138-2019-OS_CD'!E84*Factores!$B$20,2)</f>
        <v>21.69</v>
      </c>
      <c r="F91" s="491">
        <f>+ROUND('Resolución 138-2019-OS_CD'!F84*Factores!$B$20,2)</f>
        <v>12.95</v>
      </c>
      <c r="G91" s="491">
        <f>+ROUND('Resolución 138-2019-OS_CD'!G84*Factores!$B$20,2)</f>
        <v>12.92</v>
      </c>
      <c r="H91" s="491">
        <f>+ROUND('Resolución 138-2019-OS_CD'!H84*Factores!$B$20,2)</f>
        <v>12.57</v>
      </c>
      <c r="I91" s="493"/>
      <c r="L91" s="493">
        <v>16.48</v>
      </c>
      <c r="M91" s="493">
        <v>10.99</v>
      </c>
      <c r="N91" s="493">
        <v>10.36</v>
      </c>
      <c r="O91" s="493">
        <v>10.32</v>
      </c>
      <c r="R91" s="470">
        <f t="shared" si="9"/>
        <v>1</v>
      </c>
      <c r="S91" s="470">
        <f t="shared" si="9"/>
        <v>1</v>
      </c>
      <c r="T91" s="470">
        <f t="shared" si="9"/>
        <v>1</v>
      </c>
      <c r="U91" s="470">
        <f t="shared" si="9"/>
        <v>1</v>
      </c>
    </row>
    <row r="92" spans="2:22" ht="12.75">
      <c r="B92" s="504"/>
      <c r="C92" s="479"/>
      <c r="D92" s="483" t="s">
        <v>326</v>
      </c>
      <c r="E92" s="491">
        <f>+ROUND('Resolución 138-2019-OS_CD'!E85*Factores!$B$20,2)</f>
        <v>35.24</v>
      </c>
      <c r="F92" s="491">
        <f>+ROUND('Resolución 138-2019-OS_CD'!F85*Factores!$B$20,2)</f>
        <v>33.06</v>
      </c>
      <c r="G92" s="491">
        <f>+ROUND('Resolución 138-2019-OS_CD'!G85*Factores!$B$20,2)</f>
        <v>33.06</v>
      </c>
      <c r="H92" s="491">
        <f>+ROUND('Resolución 138-2019-OS_CD'!H85*Factores!$B$20,2)</f>
        <v>33.4</v>
      </c>
      <c r="K92" s="883" t="s">
        <v>430</v>
      </c>
      <c r="L92" s="493">
        <v>26.06</v>
      </c>
      <c r="M92" s="493">
        <v>25.19</v>
      </c>
      <c r="N92" s="493">
        <v>26.81</v>
      </c>
      <c r="O92" s="493">
        <v>25.09</v>
      </c>
      <c r="R92" s="470">
        <f t="shared" si="9"/>
        <v>1</v>
      </c>
      <c r="S92" s="470">
        <f t="shared" si="9"/>
        <v>1</v>
      </c>
      <c r="T92" s="470">
        <f t="shared" si="9"/>
        <v>1</v>
      </c>
      <c r="U92" s="470">
        <f t="shared" si="9"/>
        <v>1</v>
      </c>
      <c r="V92" s="525">
        <f>+SUM(R85:U92)</f>
        <v>32</v>
      </c>
    </row>
    <row r="93" spans="2:22" ht="12.75">
      <c r="B93" s="808"/>
      <c r="C93" s="471"/>
      <c r="D93" s="471"/>
      <c r="E93" s="807"/>
      <c r="F93" s="807"/>
      <c r="G93" s="807"/>
      <c r="H93" s="807"/>
      <c r="K93" s="493">
        <f>+SUM(E85:H92)</f>
        <v>531.61</v>
      </c>
      <c r="L93" s="493"/>
      <c r="M93" s="493"/>
      <c r="N93" s="493"/>
      <c r="O93" s="493"/>
      <c r="V93" s="525"/>
    </row>
    <row r="94" spans="2:22" ht="12.75">
      <c r="B94" s="808"/>
      <c r="C94" s="471"/>
      <c r="D94" s="471"/>
      <c r="E94" s="493"/>
      <c r="F94" s="493"/>
      <c r="G94" s="493"/>
      <c r="H94" s="493"/>
      <c r="K94" s="493"/>
      <c r="L94" s="493"/>
      <c r="M94" s="493"/>
      <c r="N94" s="493"/>
      <c r="O94" s="493"/>
      <c r="V94" s="525"/>
    </row>
    <row r="95" spans="2:12" ht="12.75">
      <c r="B95" s="538" t="s">
        <v>50</v>
      </c>
      <c r="C95" s="589"/>
      <c r="D95" s="589"/>
      <c r="E95" s="956" t="s">
        <v>318</v>
      </c>
      <c r="F95" s="963"/>
      <c r="G95" s="963"/>
      <c r="H95" s="964"/>
      <c r="K95" s="500"/>
      <c r="L95" s="500"/>
    </row>
    <row r="96" spans="2:12" ht="24">
      <c r="B96" s="590" t="s">
        <v>130</v>
      </c>
      <c r="C96" s="590" t="s">
        <v>3</v>
      </c>
      <c r="D96" s="590" t="s">
        <v>319</v>
      </c>
      <c r="E96" s="921" t="s">
        <v>252</v>
      </c>
      <c r="F96" s="591" t="s">
        <v>263</v>
      </c>
      <c r="G96" s="591" t="s">
        <v>254</v>
      </c>
      <c r="H96" s="591" t="s">
        <v>265</v>
      </c>
      <c r="K96" s="486"/>
      <c r="L96" s="486"/>
    </row>
    <row r="97" spans="2:21" ht="12.75">
      <c r="B97" s="501"/>
      <c r="C97" s="815" t="s">
        <v>320</v>
      </c>
      <c r="D97" s="503" t="s">
        <v>321</v>
      </c>
      <c r="E97" s="922">
        <f>+ROUND('Resolución 138-2019-OS_CD'!E89*Factores!$B$20,2)</f>
        <v>8.93</v>
      </c>
      <c r="F97" s="835">
        <f>+ROUND('Resolución 138-2019-OS_CD'!F89*Factores!$B$20,2)</f>
        <v>8.46</v>
      </c>
      <c r="G97" s="835">
        <f>+ROUND('Resolución 138-2019-OS_CD'!G89*Factores!$B$20,2)</f>
        <v>9.29</v>
      </c>
      <c r="H97" s="835">
        <f>+ROUND('Resolución 138-2019-OS_CD'!H89*Factores!$B$20,2)</f>
        <v>8.35</v>
      </c>
      <c r="K97" s="493"/>
      <c r="L97" s="493">
        <v>6.26</v>
      </c>
      <c r="M97" s="493">
        <v>5.48</v>
      </c>
      <c r="N97" s="493">
        <v>6.75</v>
      </c>
      <c r="O97" s="493">
        <v>5.72</v>
      </c>
      <c r="R97" s="470">
        <f aca="true" t="shared" si="10" ref="R97:U104">+IF(L97=E97,0,1)</f>
        <v>1</v>
      </c>
      <c r="S97" s="470">
        <f t="shared" si="10"/>
        <v>1</v>
      </c>
      <c r="T97" s="470">
        <f t="shared" si="10"/>
        <v>1</v>
      </c>
      <c r="U97" s="470">
        <f t="shared" si="10"/>
        <v>1</v>
      </c>
    </row>
    <row r="98" spans="2:21" ht="12.75">
      <c r="B98" s="494"/>
      <c r="C98" s="813"/>
      <c r="D98" s="503" t="s">
        <v>322</v>
      </c>
      <c r="E98" s="922">
        <f>+ROUND('Resolución 138-2019-OS_CD'!E90*Factores!$B$20,2)</f>
        <v>11.19</v>
      </c>
      <c r="F98" s="835">
        <f>+ROUND('Resolución 138-2019-OS_CD'!F90*Factores!$B$20,2)</f>
        <v>10.82</v>
      </c>
      <c r="G98" s="835">
        <f>+ROUND('Resolución 138-2019-OS_CD'!G90*Factores!$B$20,2)</f>
        <v>11.81</v>
      </c>
      <c r="H98" s="835">
        <f>+ROUND('Resolución 138-2019-OS_CD'!H90*Factores!$B$20,2)</f>
        <v>10.47</v>
      </c>
      <c r="K98" s="493"/>
      <c r="L98" s="493">
        <v>8.86</v>
      </c>
      <c r="M98" s="493">
        <v>8.08</v>
      </c>
      <c r="N98" s="493">
        <v>9.75</v>
      </c>
      <c r="O98" s="493">
        <v>8.1</v>
      </c>
      <c r="R98" s="470">
        <f t="shared" si="10"/>
        <v>1</v>
      </c>
      <c r="S98" s="470">
        <f t="shared" si="10"/>
        <v>1</v>
      </c>
      <c r="T98" s="470">
        <f t="shared" si="10"/>
        <v>1</v>
      </c>
      <c r="U98" s="470">
        <f t="shared" si="10"/>
        <v>1</v>
      </c>
    </row>
    <row r="99" spans="2:21" ht="12.75">
      <c r="B99" s="497" t="s">
        <v>357</v>
      </c>
      <c r="C99" s="813"/>
      <c r="D99" s="503" t="s">
        <v>324</v>
      </c>
      <c r="E99" s="922">
        <f>+ROUND('Resolución 138-2019-OS_CD'!E91*Factores!$B$20,2)</f>
        <v>11.28</v>
      </c>
      <c r="F99" s="835">
        <f>+ROUND('Resolución 138-2019-OS_CD'!F91*Factores!$B$20,2)</f>
        <v>10.93</v>
      </c>
      <c r="G99" s="835">
        <f>+ROUND('Resolución 138-2019-OS_CD'!G91*Factores!$B$20,2)</f>
        <v>11.93</v>
      </c>
      <c r="H99" s="835">
        <f>+ROUND('Resolución 138-2019-OS_CD'!H91*Factores!$B$20,2)</f>
        <v>10.55</v>
      </c>
      <c r="K99" s="493"/>
      <c r="L99" s="493">
        <v>8.97</v>
      </c>
      <c r="M99" s="493">
        <v>8.17</v>
      </c>
      <c r="N99" s="493">
        <v>9.83</v>
      </c>
      <c r="O99" s="493">
        <v>8.22</v>
      </c>
      <c r="R99" s="470">
        <f t="shared" si="10"/>
        <v>1</v>
      </c>
      <c r="S99" s="470">
        <f t="shared" si="10"/>
        <v>1</v>
      </c>
      <c r="T99" s="470">
        <f t="shared" si="10"/>
        <v>1</v>
      </c>
      <c r="U99" s="470">
        <f t="shared" si="10"/>
        <v>1</v>
      </c>
    </row>
    <row r="100" spans="2:21" ht="12.75">
      <c r="B100" s="497" t="s">
        <v>358</v>
      </c>
      <c r="C100" s="813"/>
      <c r="D100" s="503" t="s">
        <v>326</v>
      </c>
      <c r="E100" s="922">
        <f>+ROUND('Resolución 138-2019-OS_CD'!E92*Factores!$B$20,2)</f>
        <v>29.04</v>
      </c>
      <c r="F100" s="835">
        <f>+ROUND('Resolución 138-2019-OS_CD'!F92*Factores!$B$20,2)</f>
        <v>26.65</v>
      </c>
      <c r="G100" s="835">
        <f>+ROUND('Resolución 138-2019-OS_CD'!G92*Factores!$B$20,2)</f>
        <v>26.95</v>
      </c>
      <c r="H100" s="835">
        <f>+ROUND('Resolución 138-2019-OS_CD'!H92*Factores!$B$20,2)</f>
        <v>29.03</v>
      </c>
      <c r="K100" s="493"/>
      <c r="L100" s="493">
        <v>24.74</v>
      </c>
      <c r="M100" s="493">
        <v>21.76</v>
      </c>
      <c r="N100" s="493">
        <v>22.23</v>
      </c>
      <c r="O100" s="493">
        <v>24.95</v>
      </c>
      <c r="R100" s="470">
        <f t="shared" si="10"/>
        <v>1</v>
      </c>
      <c r="S100" s="470">
        <f t="shared" si="10"/>
        <v>1</v>
      </c>
      <c r="T100" s="470">
        <f t="shared" si="10"/>
        <v>1</v>
      </c>
      <c r="U100" s="470">
        <f t="shared" si="10"/>
        <v>1</v>
      </c>
    </row>
    <row r="101" spans="2:21" ht="12.75">
      <c r="B101" s="497" t="s">
        <v>359</v>
      </c>
      <c r="C101" s="823" t="s">
        <v>328</v>
      </c>
      <c r="D101" s="505" t="s">
        <v>321</v>
      </c>
      <c r="E101" s="922">
        <f>+ROUND('Resolución 138-2019-OS_CD'!E93*Factores!$B$20,2)</f>
        <v>12.34</v>
      </c>
      <c r="F101" s="835">
        <f>+ROUND('Resolución 138-2019-OS_CD'!F93*Factores!$B$20,2)</f>
        <v>11.46</v>
      </c>
      <c r="G101" s="835">
        <f>+ROUND('Resolución 138-2019-OS_CD'!G93*Factores!$B$20,2)</f>
        <v>12.49</v>
      </c>
      <c r="H101" s="835">
        <f>+ROUND('Resolución 138-2019-OS_CD'!H93*Factores!$B$20,2)</f>
        <v>11.64</v>
      </c>
      <c r="K101" s="493"/>
      <c r="L101" s="493">
        <v>8.31</v>
      </c>
      <c r="M101" s="493">
        <v>7.36</v>
      </c>
      <c r="N101" s="493">
        <v>8.86</v>
      </c>
      <c r="O101" s="493">
        <v>7.66</v>
      </c>
      <c r="R101" s="470">
        <f t="shared" si="10"/>
        <v>1</v>
      </c>
      <c r="S101" s="470">
        <f t="shared" si="10"/>
        <v>1</v>
      </c>
      <c r="T101" s="470">
        <f t="shared" si="10"/>
        <v>1</v>
      </c>
      <c r="U101" s="470">
        <f t="shared" si="10"/>
        <v>1</v>
      </c>
    </row>
    <row r="102" spans="2:21" ht="12.75">
      <c r="B102" s="502"/>
      <c r="C102" s="475"/>
      <c r="D102" s="505" t="s">
        <v>322</v>
      </c>
      <c r="E102" s="922">
        <f>+ROUND('Resolución 138-2019-OS_CD'!E94*Factores!$B$20,2)</f>
        <v>13.69</v>
      </c>
      <c r="F102" s="835">
        <f>+ROUND('Resolución 138-2019-OS_CD'!F94*Factores!$B$20,2)</f>
        <v>13.3</v>
      </c>
      <c r="G102" s="835">
        <f>+ROUND('Resolución 138-2019-OS_CD'!G94*Factores!$B$20,2)</f>
        <v>14.56</v>
      </c>
      <c r="H102" s="835">
        <f>+ROUND('Resolución 138-2019-OS_CD'!H94*Factores!$B$20,2)</f>
        <v>12.76</v>
      </c>
      <c r="K102" s="493"/>
      <c r="L102" s="493">
        <v>10.04</v>
      </c>
      <c r="M102" s="493">
        <v>9.36</v>
      </c>
      <c r="N102" s="493">
        <v>11.27</v>
      </c>
      <c r="O102" s="493">
        <v>9.15</v>
      </c>
      <c r="R102" s="470">
        <f t="shared" si="10"/>
        <v>1</v>
      </c>
      <c r="S102" s="470">
        <f t="shared" si="10"/>
        <v>1</v>
      </c>
      <c r="T102" s="470">
        <f t="shared" si="10"/>
        <v>1</v>
      </c>
      <c r="U102" s="470">
        <f t="shared" si="10"/>
        <v>1</v>
      </c>
    </row>
    <row r="103" spans="2:21" ht="12.75">
      <c r="B103" s="502"/>
      <c r="C103" s="475"/>
      <c r="D103" s="505" t="s">
        <v>324</v>
      </c>
      <c r="E103" s="922">
        <f>+ROUND('Resolución 138-2019-OS_CD'!E95*Factores!$B$20,2)</f>
        <v>15.27</v>
      </c>
      <c r="F103" s="835">
        <f>+ROUND('Resolución 138-2019-OS_CD'!F95*Factores!$B$20,2)</f>
        <v>14.36</v>
      </c>
      <c r="G103" s="835">
        <f>+ROUND('Resolución 138-2019-OS_CD'!G95*Factores!$B$20,2)</f>
        <v>15.59</v>
      </c>
      <c r="H103" s="835">
        <f>+ROUND('Resolución 138-2019-OS_CD'!H95*Factores!$B$20,2)</f>
        <v>14.42</v>
      </c>
      <c r="K103" s="493"/>
      <c r="L103" s="493">
        <v>10.97</v>
      </c>
      <c r="M103" s="493">
        <v>10.18</v>
      </c>
      <c r="N103" s="493">
        <v>12.05</v>
      </c>
      <c r="O103" s="493">
        <v>10.11</v>
      </c>
      <c r="R103" s="470">
        <f t="shared" si="10"/>
        <v>1</v>
      </c>
      <c r="S103" s="470">
        <f t="shared" si="10"/>
        <v>1</v>
      </c>
      <c r="T103" s="470">
        <f t="shared" si="10"/>
        <v>1</v>
      </c>
      <c r="U103" s="470">
        <f t="shared" si="10"/>
        <v>1</v>
      </c>
    </row>
    <row r="104" spans="2:22" ht="12.75">
      <c r="B104" s="504"/>
      <c r="C104" s="479"/>
      <c r="D104" s="483" t="s">
        <v>326</v>
      </c>
      <c r="E104" s="922">
        <f>+ROUND('Resolución 138-2019-OS_CD'!E96*Factores!$B$20,2)</f>
        <v>37.4</v>
      </c>
      <c r="F104" s="835">
        <f>+ROUND('Resolución 138-2019-OS_CD'!F96*Factores!$B$20,2)</f>
        <v>33.76</v>
      </c>
      <c r="G104" s="835">
        <f>+ROUND('Resolución 138-2019-OS_CD'!G96*Factores!$B$20,2)</f>
        <v>34.01</v>
      </c>
      <c r="H104" s="835">
        <f>+ROUND('Resolución 138-2019-OS_CD'!H96*Factores!$B$20,2)</f>
        <v>37.5</v>
      </c>
      <c r="K104" s="883" t="s">
        <v>430</v>
      </c>
      <c r="L104" s="493">
        <v>28.65</v>
      </c>
      <c r="M104" s="493">
        <v>25.07</v>
      </c>
      <c r="N104" s="493">
        <v>25.36</v>
      </c>
      <c r="O104" s="493">
        <v>29.02</v>
      </c>
      <c r="R104" s="470">
        <f t="shared" si="10"/>
        <v>1</v>
      </c>
      <c r="S104" s="470">
        <f t="shared" si="10"/>
        <v>1</v>
      </c>
      <c r="T104" s="470">
        <f t="shared" si="10"/>
        <v>1</v>
      </c>
      <c r="U104" s="470">
        <f t="shared" si="10"/>
        <v>1</v>
      </c>
      <c r="V104" s="525">
        <f>+SUM(R97:U104)</f>
        <v>32</v>
      </c>
    </row>
    <row r="105" spans="2:22" ht="12.75">
      <c r="B105" s="808"/>
      <c r="C105" s="471"/>
      <c r="D105" s="471"/>
      <c r="E105" s="879"/>
      <c r="F105" s="807"/>
      <c r="G105" s="807"/>
      <c r="H105" s="807"/>
      <c r="I105" s="493"/>
      <c r="K105" s="496">
        <f>+SUM(E97:H104)</f>
        <v>540.23</v>
      </c>
      <c r="L105" s="493"/>
      <c r="M105" s="493"/>
      <c r="N105" s="493"/>
      <c r="O105" s="493"/>
      <c r="V105" s="525"/>
    </row>
    <row r="106" spans="2:22" ht="12.75">
      <c r="B106" s="808"/>
      <c r="C106" s="471"/>
      <c r="D106" s="471"/>
      <c r="E106" s="879"/>
      <c r="F106" s="807"/>
      <c r="G106" s="807"/>
      <c r="H106" s="807"/>
      <c r="I106" s="493"/>
      <c r="L106" s="493"/>
      <c r="M106" s="493"/>
      <c r="N106" s="493"/>
      <c r="O106" s="493"/>
      <c r="V106" s="525"/>
    </row>
    <row r="107" spans="2:22" ht="12.75">
      <c r="B107" s="808"/>
      <c r="C107" s="471"/>
      <c r="D107" s="471"/>
      <c r="E107" s="807"/>
      <c r="F107" s="807"/>
      <c r="G107" s="807"/>
      <c r="H107" s="807"/>
      <c r="I107" s="493"/>
      <c r="L107" s="493"/>
      <c r="M107" s="493"/>
      <c r="N107" s="493"/>
      <c r="O107" s="493"/>
      <c r="V107" s="525"/>
    </row>
    <row r="108" spans="2:22" ht="12.75">
      <c r="B108" s="808"/>
      <c r="C108" s="471"/>
      <c r="D108" s="471"/>
      <c r="E108" s="807"/>
      <c r="F108" s="807"/>
      <c r="G108" s="807"/>
      <c r="H108" s="807"/>
      <c r="I108" s="493"/>
      <c r="L108" s="493"/>
      <c r="M108" s="493"/>
      <c r="N108" s="493"/>
      <c r="O108" s="493"/>
      <c r="V108" s="525"/>
    </row>
    <row r="109" spans="2:22" ht="12.75">
      <c r="B109" s="808"/>
      <c r="C109" s="471"/>
      <c r="D109" s="471"/>
      <c r="E109" s="807"/>
      <c r="F109" s="807"/>
      <c r="G109" s="807"/>
      <c r="H109" s="807"/>
      <c r="I109" s="493"/>
      <c r="L109" s="493"/>
      <c r="M109" s="493"/>
      <c r="N109" s="493"/>
      <c r="O109" s="493"/>
      <c r="V109" s="525"/>
    </row>
    <row r="110" spans="2:22" ht="12.75">
      <c r="B110" s="808"/>
      <c r="C110" s="471"/>
      <c r="D110" s="471"/>
      <c r="E110" s="807"/>
      <c r="F110" s="807"/>
      <c r="G110" s="807"/>
      <c r="H110" s="807"/>
      <c r="I110" s="493"/>
      <c r="L110" s="493"/>
      <c r="M110" s="493"/>
      <c r="N110" s="493"/>
      <c r="O110" s="493"/>
      <c r="V110" s="525"/>
    </row>
    <row r="111" spans="2:22" ht="12.75">
      <c r="B111" s="808"/>
      <c r="C111" s="471"/>
      <c r="D111" s="471"/>
      <c r="E111" s="807"/>
      <c r="F111" s="807"/>
      <c r="G111" s="807"/>
      <c r="H111" s="807"/>
      <c r="I111" s="493"/>
      <c r="L111" s="493"/>
      <c r="M111" s="493"/>
      <c r="N111" s="493"/>
      <c r="O111" s="493"/>
      <c r="V111" s="525"/>
    </row>
    <row r="112" spans="2:22" ht="12.75">
      <c r="B112" s="808"/>
      <c r="C112" s="471"/>
      <c r="D112" s="471"/>
      <c r="E112" s="807"/>
      <c r="F112" s="807"/>
      <c r="G112" s="807"/>
      <c r="H112" s="807"/>
      <c r="I112" s="493"/>
      <c r="L112" s="493"/>
      <c r="M112" s="493"/>
      <c r="N112" s="493"/>
      <c r="O112" s="493"/>
      <c r="V112" s="525"/>
    </row>
    <row r="113" spans="2:22" ht="12.75">
      <c r="B113" s="808"/>
      <c r="C113" s="471"/>
      <c r="D113" s="471"/>
      <c r="E113" s="493"/>
      <c r="F113" s="493"/>
      <c r="G113" s="493"/>
      <c r="H113" s="493"/>
      <c r="I113" s="493"/>
      <c r="L113" s="493"/>
      <c r="M113" s="493"/>
      <c r="N113" s="493"/>
      <c r="O113" s="493"/>
      <c r="V113" s="525"/>
    </row>
    <row r="115" spans="2:12" ht="12.75">
      <c r="B115" s="538" t="s">
        <v>50</v>
      </c>
      <c r="C115" s="592"/>
      <c r="D115" s="592"/>
      <c r="E115" s="956" t="s">
        <v>318</v>
      </c>
      <c r="F115" s="957"/>
      <c r="G115" s="957"/>
      <c r="H115" s="958"/>
      <c r="I115" s="500"/>
      <c r="L115" s="500"/>
    </row>
    <row r="116" spans="2:12" ht="12.75">
      <c r="B116" s="545" t="s">
        <v>130</v>
      </c>
      <c r="C116" s="545" t="s">
        <v>3</v>
      </c>
      <c r="D116" s="545" t="s">
        <v>319</v>
      </c>
      <c r="E116" s="546" t="s">
        <v>255</v>
      </c>
      <c r="F116" s="546" t="s">
        <v>266</v>
      </c>
      <c r="G116" s="546" t="s">
        <v>256</v>
      </c>
      <c r="H116" s="546" t="s">
        <v>257</v>
      </c>
      <c r="I116" s="486"/>
      <c r="L116" s="486"/>
    </row>
    <row r="117" spans="2:21" ht="12.75">
      <c r="B117" s="501"/>
      <c r="C117" s="815" t="s">
        <v>320</v>
      </c>
      <c r="D117" s="503" t="s">
        <v>321</v>
      </c>
      <c r="E117" s="835">
        <f>+ROUND('Resolución 138-2019-OS_CD'!E100*Factores!$B$20,2)</f>
        <v>9.03</v>
      </c>
      <c r="F117" s="835">
        <f>+ROUND('Resolución 138-2019-OS_CD'!F100*Factores!$B$20,2)</f>
        <v>7.63</v>
      </c>
      <c r="G117" s="835">
        <f>+ROUND('Resolución 138-2019-OS_CD'!G100*Factores!$B$20,2)</f>
        <v>7.58</v>
      </c>
      <c r="H117" s="835">
        <f>+ROUND('Resolución 138-2019-OS_CD'!H100*Factores!$B$20,2)</f>
        <v>7.27</v>
      </c>
      <c r="I117" s="493"/>
      <c r="L117" s="493">
        <v>6.53</v>
      </c>
      <c r="M117" s="493">
        <v>5.87</v>
      </c>
      <c r="N117" s="493">
        <v>5.77</v>
      </c>
      <c r="O117" s="493">
        <v>5.48</v>
      </c>
      <c r="R117" s="470">
        <f aca="true" t="shared" si="11" ref="R117:U124">+IF(L117=E117,0,1)</f>
        <v>1</v>
      </c>
      <c r="S117" s="470">
        <f t="shared" si="11"/>
        <v>1</v>
      </c>
      <c r="T117" s="470">
        <f t="shared" si="11"/>
        <v>1</v>
      </c>
      <c r="U117" s="470">
        <f t="shared" si="11"/>
        <v>1</v>
      </c>
    </row>
    <row r="118" spans="2:21" ht="12.75">
      <c r="B118" s="494"/>
      <c r="C118" s="813"/>
      <c r="D118" s="503" t="s">
        <v>322</v>
      </c>
      <c r="E118" s="835">
        <f>+ROUND('Resolución 138-2019-OS_CD'!E101*Factores!$B$20,2)</f>
        <v>11.49</v>
      </c>
      <c r="F118" s="835">
        <f>+ROUND('Resolución 138-2019-OS_CD'!F101*Factores!$B$20,2)</f>
        <v>9.84</v>
      </c>
      <c r="G118" s="835">
        <f>+ROUND('Resolución 138-2019-OS_CD'!G101*Factores!$B$20,2)</f>
        <v>9.78</v>
      </c>
      <c r="H118" s="835">
        <f>+ROUND('Resolución 138-2019-OS_CD'!H101*Factores!$B$20,2)</f>
        <v>9.43</v>
      </c>
      <c r="I118" s="493"/>
      <c r="L118" s="493">
        <v>9.46</v>
      </c>
      <c r="M118" s="493">
        <v>8.59</v>
      </c>
      <c r="N118" s="493">
        <v>8.46</v>
      </c>
      <c r="O118" s="493">
        <v>8.07</v>
      </c>
      <c r="R118" s="470">
        <f t="shared" si="11"/>
        <v>1</v>
      </c>
      <c r="S118" s="470">
        <f t="shared" si="11"/>
        <v>1</v>
      </c>
      <c r="T118" s="470">
        <f t="shared" si="11"/>
        <v>1</v>
      </c>
      <c r="U118" s="470">
        <f t="shared" si="11"/>
        <v>1</v>
      </c>
    </row>
    <row r="119" spans="2:21" ht="12.75">
      <c r="B119" s="497" t="s">
        <v>357</v>
      </c>
      <c r="C119" s="813"/>
      <c r="D119" s="503" t="s">
        <v>324</v>
      </c>
      <c r="E119" s="835">
        <f>+ROUND('Resolución 138-2019-OS_CD'!E102*Factores!$B$20,2)</f>
        <v>11.6</v>
      </c>
      <c r="F119" s="835">
        <f>+ROUND('Resolución 138-2019-OS_CD'!F102*Factores!$B$20,2)</f>
        <v>9.97</v>
      </c>
      <c r="G119" s="835">
        <f>+ROUND('Resolución 138-2019-OS_CD'!G102*Factores!$B$20,2)</f>
        <v>9.91</v>
      </c>
      <c r="H119" s="835">
        <f>+ROUND('Resolución 138-2019-OS_CD'!H102*Factores!$B$20,2)</f>
        <v>9.56</v>
      </c>
      <c r="I119" s="493"/>
      <c r="L119" s="493">
        <v>9.54</v>
      </c>
      <c r="M119" s="493">
        <v>8.68</v>
      </c>
      <c r="N119" s="493">
        <v>8.55</v>
      </c>
      <c r="O119" s="493">
        <v>8.16</v>
      </c>
      <c r="R119" s="470">
        <f t="shared" si="11"/>
        <v>1</v>
      </c>
      <c r="S119" s="470">
        <f t="shared" si="11"/>
        <v>1</v>
      </c>
      <c r="T119" s="470">
        <f t="shared" si="11"/>
        <v>1</v>
      </c>
      <c r="U119" s="470">
        <f t="shared" si="11"/>
        <v>1</v>
      </c>
    </row>
    <row r="120" spans="2:21" ht="12.75">
      <c r="B120" s="497" t="s">
        <v>358</v>
      </c>
      <c r="C120" s="813"/>
      <c r="D120" s="503" t="s">
        <v>326</v>
      </c>
      <c r="E120" s="835">
        <f>+ROUND('Resolución 138-2019-OS_CD'!E103*Factores!$B$20,2)</f>
        <v>26.85</v>
      </c>
      <c r="F120" s="835">
        <f>+ROUND('Resolución 138-2019-OS_CD'!F103*Factores!$B$20,2)</f>
        <v>26.37</v>
      </c>
      <c r="G120" s="835">
        <f>+ROUND('Resolución 138-2019-OS_CD'!G103*Factores!$B$20,2)</f>
        <v>26.36</v>
      </c>
      <c r="H120" s="835">
        <f>+ROUND('Resolución 138-2019-OS_CD'!H103*Factores!$B$20,2)</f>
        <v>26.25</v>
      </c>
      <c r="I120" s="493"/>
      <c r="L120" s="493">
        <v>22.15</v>
      </c>
      <c r="M120" s="493">
        <v>21.9</v>
      </c>
      <c r="N120" s="493">
        <v>21.87</v>
      </c>
      <c r="O120" s="493">
        <v>21.76</v>
      </c>
      <c r="R120" s="470">
        <f t="shared" si="11"/>
        <v>1</v>
      </c>
      <c r="S120" s="470">
        <f t="shared" si="11"/>
        <v>1</v>
      </c>
      <c r="T120" s="470">
        <f t="shared" si="11"/>
        <v>1</v>
      </c>
      <c r="U120" s="470">
        <f t="shared" si="11"/>
        <v>1</v>
      </c>
    </row>
    <row r="121" spans="2:21" ht="12.75">
      <c r="B121" s="497" t="s">
        <v>359</v>
      </c>
      <c r="C121" s="823" t="s">
        <v>328</v>
      </c>
      <c r="D121" s="505" t="s">
        <v>321</v>
      </c>
      <c r="E121" s="835">
        <f>+ROUND('Resolución 138-2019-OS_CD'!E104*Factores!$B$20,2)</f>
        <v>12.16</v>
      </c>
      <c r="F121" s="835">
        <f>+ROUND('Resolución 138-2019-OS_CD'!F104*Factores!$B$20,2)</f>
        <v>10.48</v>
      </c>
      <c r="G121" s="835">
        <f>+ROUND('Resolución 138-2019-OS_CD'!G104*Factores!$B$20,2)</f>
        <v>10.42</v>
      </c>
      <c r="H121" s="835">
        <f>+ROUND('Resolución 138-2019-OS_CD'!H104*Factores!$B$20,2)</f>
        <v>10.05</v>
      </c>
      <c r="I121" s="493"/>
      <c r="L121" s="493">
        <v>8.6</v>
      </c>
      <c r="M121" s="493">
        <v>7.82</v>
      </c>
      <c r="N121" s="493">
        <v>7.7</v>
      </c>
      <c r="O121" s="493">
        <v>7.35</v>
      </c>
      <c r="R121" s="470">
        <f t="shared" si="11"/>
        <v>1</v>
      </c>
      <c r="S121" s="470">
        <f t="shared" si="11"/>
        <v>1</v>
      </c>
      <c r="T121" s="470">
        <f t="shared" si="11"/>
        <v>1</v>
      </c>
      <c r="U121" s="470">
        <f t="shared" si="11"/>
        <v>1</v>
      </c>
    </row>
    <row r="122" spans="2:21" ht="12.75">
      <c r="B122" s="502"/>
      <c r="C122" s="475"/>
      <c r="D122" s="505" t="s">
        <v>322</v>
      </c>
      <c r="E122" s="835">
        <f>+ROUND('Resolución 138-2019-OS_CD'!E105*Factores!$B$20,2)</f>
        <v>14.16</v>
      </c>
      <c r="F122" s="835">
        <f>+ROUND('Resolución 138-2019-OS_CD'!F105*Factores!$B$20,2)</f>
        <v>12.08</v>
      </c>
      <c r="G122" s="835">
        <f>+ROUND('Resolución 138-2019-OS_CD'!G105*Factores!$B$20,2)</f>
        <v>12</v>
      </c>
      <c r="H122" s="835">
        <f>+ROUND('Resolución 138-2019-OS_CD'!H105*Factores!$B$20,2)</f>
        <v>11.55</v>
      </c>
      <c r="I122" s="493"/>
      <c r="L122" s="493">
        <v>10.94</v>
      </c>
      <c r="M122" s="493">
        <v>9.94</v>
      </c>
      <c r="N122" s="493">
        <v>9.79</v>
      </c>
      <c r="O122" s="493">
        <v>9.34</v>
      </c>
      <c r="R122" s="470">
        <f t="shared" si="11"/>
        <v>1</v>
      </c>
      <c r="S122" s="470">
        <f t="shared" si="11"/>
        <v>1</v>
      </c>
      <c r="T122" s="470">
        <f t="shared" si="11"/>
        <v>1</v>
      </c>
      <c r="U122" s="470">
        <f t="shared" si="11"/>
        <v>1</v>
      </c>
    </row>
    <row r="123" spans="2:21" ht="12.75">
      <c r="B123" s="502"/>
      <c r="C123" s="475"/>
      <c r="D123" s="505" t="s">
        <v>324</v>
      </c>
      <c r="E123" s="835">
        <f>+ROUND('Resolución 138-2019-OS_CD'!E106*Factores!$B$20,2)</f>
        <v>15.21</v>
      </c>
      <c r="F123" s="835">
        <f>+ROUND('Resolución 138-2019-OS_CD'!F106*Factores!$B$20,2)</f>
        <v>13.16</v>
      </c>
      <c r="G123" s="835">
        <f>+ROUND('Resolución 138-2019-OS_CD'!G106*Factores!$B$20,2)</f>
        <v>13.09</v>
      </c>
      <c r="H123" s="835">
        <f>+ROUND('Resolución 138-2019-OS_CD'!H106*Factores!$B$20,2)</f>
        <v>12.65</v>
      </c>
      <c r="I123" s="493"/>
      <c r="L123" s="493">
        <v>11.73</v>
      </c>
      <c r="M123" s="493">
        <v>10.75</v>
      </c>
      <c r="N123" s="493">
        <v>10.61</v>
      </c>
      <c r="O123" s="493">
        <v>10.17</v>
      </c>
      <c r="R123" s="470">
        <f t="shared" si="11"/>
        <v>1</v>
      </c>
      <c r="S123" s="470">
        <f t="shared" si="11"/>
        <v>1</v>
      </c>
      <c r="T123" s="470">
        <f t="shared" si="11"/>
        <v>1</v>
      </c>
      <c r="U123" s="470">
        <f t="shared" si="11"/>
        <v>1</v>
      </c>
    </row>
    <row r="124" spans="2:22" ht="12.75">
      <c r="B124" s="504"/>
      <c r="C124" s="479"/>
      <c r="D124" s="483" t="s">
        <v>326</v>
      </c>
      <c r="E124" s="835">
        <f>+ROUND('Resolución 138-2019-OS_CD'!E107*Factores!$B$20,2)</f>
        <v>33.93</v>
      </c>
      <c r="F124" s="835">
        <f>+ROUND('Resolución 138-2019-OS_CD'!F107*Factores!$B$20,2)</f>
        <v>33.52</v>
      </c>
      <c r="G124" s="835">
        <f>+ROUND('Resolución 138-2019-OS_CD'!G107*Factores!$B$20,2)</f>
        <v>33.51</v>
      </c>
      <c r="H124" s="835">
        <f>+ROUND('Resolución 138-2019-OS_CD'!H107*Factores!$B$20,2)</f>
        <v>33.41</v>
      </c>
      <c r="K124" s="883" t="s">
        <v>430</v>
      </c>
      <c r="L124" s="493">
        <v>25.31</v>
      </c>
      <c r="M124" s="493">
        <v>25.16</v>
      </c>
      <c r="N124" s="493">
        <v>25.13</v>
      </c>
      <c r="O124" s="493">
        <v>25.07</v>
      </c>
      <c r="R124" s="470">
        <f t="shared" si="11"/>
        <v>1</v>
      </c>
      <c r="S124" s="470">
        <f t="shared" si="11"/>
        <v>1</v>
      </c>
      <c r="T124" s="470">
        <f t="shared" si="11"/>
        <v>1</v>
      </c>
      <c r="U124" s="470">
        <f t="shared" si="11"/>
        <v>1</v>
      </c>
      <c r="V124" s="525">
        <f>+SUM(R117:U124)</f>
        <v>32</v>
      </c>
    </row>
    <row r="125" spans="2:22" ht="12.75">
      <c r="B125" s="808"/>
      <c r="C125" s="471"/>
      <c r="D125" s="471"/>
      <c r="E125" s="493"/>
      <c r="F125" s="493"/>
      <c r="G125" s="493"/>
      <c r="H125" s="493"/>
      <c r="K125" s="493">
        <f>+SUM(E117:H124)</f>
        <v>500.29999999999995</v>
      </c>
      <c r="L125" s="493"/>
      <c r="M125" s="493"/>
      <c r="N125" s="493"/>
      <c r="O125" s="493"/>
      <c r="V125" s="525"/>
    </row>
    <row r="126" spans="12:14" ht="12.75">
      <c r="L126" s="493"/>
      <c r="M126" s="493"/>
      <c r="N126" s="493"/>
    </row>
    <row r="127" spans="2:12" ht="12.75">
      <c r="B127" s="593" t="s">
        <v>50</v>
      </c>
      <c r="C127" s="556"/>
      <c r="D127" s="556"/>
      <c r="E127" s="950" t="s">
        <v>318</v>
      </c>
      <c r="F127" s="951"/>
      <c r="G127" s="951"/>
      <c r="H127" s="952"/>
      <c r="K127" s="500"/>
      <c r="L127" s="500"/>
    </row>
    <row r="128" spans="2:12" ht="12.75">
      <c r="B128" s="594"/>
      <c r="C128" s="595"/>
      <c r="D128" s="570"/>
      <c r="E128" s="836"/>
      <c r="F128" s="837"/>
      <c r="G128" s="836"/>
      <c r="H128" s="596" t="s">
        <v>360</v>
      </c>
      <c r="K128" s="486"/>
      <c r="L128" s="486"/>
    </row>
    <row r="129" spans="2:11" ht="12.75">
      <c r="B129" s="581" t="s">
        <v>130</v>
      </c>
      <c r="C129" s="597" t="s">
        <v>3</v>
      </c>
      <c r="D129" s="573" t="s">
        <v>319</v>
      </c>
      <c r="E129" s="583" t="s">
        <v>259</v>
      </c>
      <c r="F129" s="574" t="s">
        <v>260</v>
      </c>
      <c r="G129" s="583" t="s">
        <v>261</v>
      </c>
      <c r="H129" s="583" t="s">
        <v>361</v>
      </c>
      <c r="K129" s="486"/>
    </row>
    <row r="130" spans="2:12" ht="12.75">
      <c r="B130" s="584"/>
      <c r="C130" s="563"/>
      <c r="D130" s="564"/>
      <c r="E130" s="546"/>
      <c r="F130" s="565"/>
      <c r="G130" s="546"/>
      <c r="H130" s="546" t="s">
        <v>362</v>
      </c>
      <c r="K130" s="486"/>
      <c r="L130" s="486"/>
    </row>
    <row r="131" spans="2:21" ht="12.75">
      <c r="B131" s="494"/>
      <c r="C131" s="818" t="s">
        <v>320</v>
      </c>
      <c r="D131" s="485" t="s">
        <v>321</v>
      </c>
      <c r="E131" s="488">
        <f>+ROUND('Resolución 138-2019-OS_CD'!E113*Factores!$B$20,2)</f>
        <v>9.04</v>
      </c>
      <c r="F131" s="488"/>
      <c r="G131" s="488">
        <f>+ROUND('Resolución 138-2019-OS_CD'!F113*Factores!$B$20,2)</f>
        <v>8.32</v>
      </c>
      <c r="H131" s="908">
        <f>+ROUND('Resolución 138-2019-OS_CD'!G113*Factores!$B$20,2)</f>
        <v>13.47</v>
      </c>
      <c r="K131" s="493"/>
      <c r="L131" s="493">
        <v>5.85</v>
      </c>
      <c r="M131" s="493">
        <v>5.74</v>
      </c>
      <c r="N131" s="493">
        <v>5.92</v>
      </c>
      <c r="O131" s="493">
        <v>9.75</v>
      </c>
      <c r="R131" s="470">
        <f aca="true" t="shared" si="12" ref="R131:U138">+IF(L131=E131,0,1)</f>
        <v>1</v>
      </c>
      <c r="S131" s="470">
        <f t="shared" si="12"/>
        <v>1</v>
      </c>
      <c r="T131" s="470">
        <f t="shared" si="12"/>
        <v>1</v>
      </c>
      <c r="U131" s="470">
        <f t="shared" si="12"/>
        <v>1</v>
      </c>
    </row>
    <row r="132" spans="2:21" ht="12.75">
      <c r="B132" s="494"/>
      <c r="C132" s="813"/>
      <c r="D132" s="506" t="s">
        <v>322</v>
      </c>
      <c r="E132" s="488">
        <f>+ROUND('Resolución 138-2019-OS_CD'!E114*Factores!$B$20,2)</f>
        <v>11.5</v>
      </c>
      <c r="F132" s="488"/>
      <c r="G132" s="488">
        <f>+ROUND('Resolución 138-2019-OS_CD'!F114*Factores!$B$20,2)</f>
        <v>10.67</v>
      </c>
      <c r="H132" s="908">
        <f>+ROUND('Resolución 138-2019-OS_CD'!G114*Factores!$B$20,2)</f>
        <v>16.73</v>
      </c>
      <c r="K132" s="493"/>
      <c r="L132" s="493">
        <v>8.57</v>
      </c>
      <c r="M132" s="493">
        <v>8.2</v>
      </c>
      <c r="N132" s="493">
        <v>8.66</v>
      </c>
      <c r="O132" s="493">
        <v>13.71</v>
      </c>
      <c r="R132" s="470">
        <f t="shared" si="12"/>
        <v>1</v>
      </c>
      <c r="S132" s="470">
        <f t="shared" si="12"/>
        <v>1</v>
      </c>
      <c r="T132" s="470">
        <f t="shared" si="12"/>
        <v>1</v>
      </c>
      <c r="U132" s="470">
        <f t="shared" si="12"/>
        <v>1</v>
      </c>
    </row>
    <row r="133" spans="2:21" ht="12.75">
      <c r="B133" s="497" t="s">
        <v>357</v>
      </c>
      <c r="C133" s="813"/>
      <c r="D133" s="506" t="s">
        <v>324</v>
      </c>
      <c r="E133" s="488">
        <f>+ROUND('Resolución 138-2019-OS_CD'!E115*Factores!$B$20,2)</f>
        <v>11.63</v>
      </c>
      <c r="F133" s="488"/>
      <c r="G133" s="488">
        <f>+ROUND('Resolución 138-2019-OS_CD'!F115*Factores!$B$20,2)</f>
        <v>10.78</v>
      </c>
      <c r="H133" s="908">
        <f>+ROUND('Resolución 138-2019-OS_CD'!G115*Factores!$B$20,2)</f>
        <v>16.83</v>
      </c>
      <c r="K133" s="493"/>
      <c r="L133" s="493">
        <v>8.66</v>
      </c>
      <c r="M133" s="493">
        <v>8.27</v>
      </c>
      <c r="N133" s="493">
        <v>8.75</v>
      </c>
      <c r="O133" s="493">
        <v>13.77</v>
      </c>
      <c r="R133" s="470">
        <f t="shared" si="12"/>
        <v>1</v>
      </c>
      <c r="S133" s="470">
        <f t="shared" si="12"/>
        <v>1</v>
      </c>
      <c r="T133" s="470">
        <f t="shared" si="12"/>
        <v>1</v>
      </c>
      <c r="U133" s="470">
        <f t="shared" si="12"/>
        <v>1</v>
      </c>
    </row>
    <row r="134" spans="2:21" ht="12.75">
      <c r="B134" s="497" t="s">
        <v>358</v>
      </c>
      <c r="C134" s="813"/>
      <c r="D134" s="506" t="s">
        <v>326</v>
      </c>
      <c r="E134" s="488">
        <f>+ROUND('Resolución 138-2019-OS_CD'!E116*Factores!$B$20,2)</f>
        <v>26.86</v>
      </c>
      <c r="F134" s="488"/>
      <c r="G134" s="488">
        <f>+ROUND('Resolución 138-2019-OS_CD'!F116*Factores!$B$20,2)</f>
        <v>26.61</v>
      </c>
      <c r="H134" s="908">
        <f>+ROUND('Resolución 138-2019-OS_CD'!G116*Factores!$B$20,2)</f>
        <v>28.37</v>
      </c>
      <c r="K134" s="493"/>
      <c r="L134" s="493">
        <v>21.9</v>
      </c>
      <c r="M134" s="493">
        <v>23.55</v>
      </c>
      <c r="N134" s="493">
        <v>21.92</v>
      </c>
      <c r="O134" s="493">
        <v>23.34</v>
      </c>
      <c r="R134" s="470">
        <f t="shared" si="12"/>
        <v>1</v>
      </c>
      <c r="S134" s="470">
        <f t="shared" si="12"/>
        <v>1</v>
      </c>
      <c r="T134" s="470">
        <f t="shared" si="12"/>
        <v>1</v>
      </c>
      <c r="U134" s="470">
        <f t="shared" si="12"/>
        <v>1</v>
      </c>
    </row>
    <row r="135" spans="2:21" ht="12.75">
      <c r="B135" s="497" t="s">
        <v>359</v>
      </c>
      <c r="C135" s="824" t="s">
        <v>328</v>
      </c>
      <c r="D135" s="506" t="s">
        <v>321</v>
      </c>
      <c r="E135" s="488">
        <f>+ROUND('Resolución 138-2019-OS_CD'!E117*Factores!$B$20,2)</f>
        <v>12.18</v>
      </c>
      <c r="F135" s="488"/>
      <c r="G135" s="488">
        <f>+ROUND('Resolución 138-2019-OS_CD'!F117*Factores!$B$20,2)</f>
        <v>11.31</v>
      </c>
      <c r="H135" s="908">
        <f>+ROUND('Resolución 138-2019-OS_CD'!G117*Factores!$B$20,2)</f>
        <v>17.5</v>
      </c>
      <c r="K135" s="493"/>
      <c r="L135" s="493">
        <v>7.8</v>
      </c>
      <c r="M135" s="493">
        <v>7.75</v>
      </c>
      <c r="N135" s="493">
        <v>7.88</v>
      </c>
      <c r="O135" s="493">
        <v>12.44</v>
      </c>
      <c r="R135" s="470">
        <f t="shared" si="12"/>
        <v>1</v>
      </c>
      <c r="S135" s="470">
        <f t="shared" si="12"/>
        <v>1</v>
      </c>
      <c r="T135" s="470">
        <f t="shared" si="12"/>
        <v>1</v>
      </c>
      <c r="U135" s="470">
        <f t="shared" si="12"/>
        <v>1</v>
      </c>
    </row>
    <row r="136" spans="2:21" ht="12.75">
      <c r="B136" s="502"/>
      <c r="C136" s="475"/>
      <c r="D136" s="506" t="s">
        <v>322</v>
      </c>
      <c r="E136" s="488">
        <f>+ROUND('Resolución 138-2019-OS_CD'!E118*Factores!$B$20,2)</f>
        <v>14.18</v>
      </c>
      <c r="F136" s="488"/>
      <c r="G136" s="488">
        <f>+ROUND('Resolución 138-2019-OS_CD'!F118*Factores!$B$20,2)</f>
        <v>13.11</v>
      </c>
      <c r="H136" s="908">
        <f>+ROUND('Resolución 138-2019-OS_CD'!G118*Factores!$B$20,2)</f>
        <v>20.78</v>
      </c>
      <c r="K136" s="493"/>
      <c r="L136" s="493">
        <v>9.92</v>
      </c>
      <c r="M136" s="493">
        <v>9.53</v>
      </c>
      <c r="N136" s="493">
        <v>10.02</v>
      </c>
      <c r="O136" s="493">
        <v>15.81</v>
      </c>
      <c r="R136" s="470">
        <f t="shared" si="12"/>
        <v>1</v>
      </c>
      <c r="S136" s="470">
        <f t="shared" si="12"/>
        <v>1</v>
      </c>
      <c r="T136" s="470">
        <f t="shared" si="12"/>
        <v>1</v>
      </c>
      <c r="U136" s="470">
        <f t="shared" si="12"/>
        <v>1</v>
      </c>
    </row>
    <row r="137" spans="2:21" ht="12.75">
      <c r="B137" s="502"/>
      <c r="C137" s="475"/>
      <c r="D137" s="506" t="s">
        <v>324</v>
      </c>
      <c r="E137" s="488">
        <f>+ROUND('Resolución 138-2019-OS_CD'!E119*Factores!$B$20,2)</f>
        <v>15.22</v>
      </c>
      <c r="F137" s="488"/>
      <c r="G137" s="488">
        <f>+ROUND('Resolución 138-2019-OS_CD'!F119*Factores!$B$20,2)</f>
        <v>14.17</v>
      </c>
      <c r="H137" s="908">
        <f>+ROUND('Resolución 138-2019-OS_CD'!G119*Factores!$B$20,2)</f>
        <v>21.69</v>
      </c>
      <c r="K137" s="493"/>
      <c r="L137" s="493">
        <v>10.73</v>
      </c>
      <c r="M137" s="493">
        <v>10.37</v>
      </c>
      <c r="N137" s="493">
        <v>10.83</v>
      </c>
      <c r="O137" s="493">
        <v>16.48</v>
      </c>
      <c r="R137" s="470">
        <f t="shared" si="12"/>
        <v>1</v>
      </c>
      <c r="S137" s="470">
        <f t="shared" si="12"/>
        <v>1</v>
      </c>
      <c r="T137" s="470">
        <f t="shared" si="12"/>
        <v>1</v>
      </c>
      <c r="U137" s="470">
        <f t="shared" si="12"/>
        <v>1</v>
      </c>
    </row>
    <row r="138" spans="2:22" ht="12.75">
      <c r="B138" s="504"/>
      <c r="C138" s="479"/>
      <c r="D138" s="483" t="s">
        <v>326</v>
      </c>
      <c r="E138" s="488">
        <f>+ROUND('Resolución 138-2019-OS_CD'!E120*Factores!$B$20,2)</f>
        <v>33.93</v>
      </c>
      <c r="F138" s="488"/>
      <c r="G138" s="488">
        <f>+ROUND('Resolución 138-2019-OS_CD'!F120*Factores!$B$20,2)</f>
        <v>33.72</v>
      </c>
      <c r="H138" s="908">
        <f>+ROUND('Resolución 138-2019-OS_CD'!G120*Factores!$B$20,2)</f>
        <v>35.24</v>
      </c>
      <c r="K138" s="883" t="s">
        <v>430</v>
      </c>
      <c r="L138" s="493">
        <v>25.15</v>
      </c>
      <c r="M138" s="493">
        <v>26.87</v>
      </c>
      <c r="N138" s="493">
        <v>25.17</v>
      </c>
      <c r="O138" s="493">
        <v>26.06</v>
      </c>
      <c r="R138" s="470">
        <f t="shared" si="12"/>
        <v>1</v>
      </c>
      <c r="S138" s="470">
        <f t="shared" si="12"/>
        <v>1</v>
      </c>
      <c r="T138" s="470">
        <f t="shared" si="12"/>
        <v>1</v>
      </c>
      <c r="U138" s="470">
        <f t="shared" si="12"/>
        <v>1</v>
      </c>
      <c r="V138" s="525">
        <f>+SUM(R131:U138)</f>
        <v>32</v>
      </c>
    </row>
    <row r="139" spans="2:22" ht="12.75">
      <c r="B139" s="808"/>
      <c r="C139" s="471"/>
      <c r="D139" s="471"/>
      <c r="E139" s="493"/>
      <c r="F139" s="493"/>
      <c r="G139" s="493"/>
      <c r="H139" s="493"/>
      <c r="I139" s="493"/>
      <c r="K139" s="496">
        <f>+SUM(E131:H138)</f>
        <v>433.84000000000003</v>
      </c>
      <c r="L139" s="493"/>
      <c r="M139" s="493"/>
      <c r="N139" s="493"/>
      <c r="O139" s="493"/>
      <c r="V139" s="525"/>
    </row>
    <row r="140" spans="2:22" ht="12.75">
      <c r="B140" s="808"/>
      <c r="C140" s="471"/>
      <c r="D140" s="471"/>
      <c r="E140" s="493"/>
      <c r="F140" s="493"/>
      <c r="G140" s="493"/>
      <c r="H140" s="493"/>
      <c r="I140" s="493"/>
      <c r="L140" s="493"/>
      <c r="M140" s="493"/>
      <c r="N140" s="493"/>
      <c r="O140" s="493"/>
      <c r="V140" s="525"/>
    </row>
    <row r="141" spans="2:11" ht="12.75">
      <c r="B141" s="598" t="s">
        <v>50</v>
      </c>
      <c r="C141" s="556"/>
      <c r="D141" s="556"/>
      <c r="E141" s="599"/>
      <c r="F141" s="600" t="s">
        <v>318</v>
      </c>
      <c r="G141" s="557"/>
      <c r="H141" s="557"/>
      <c r="I141" s="558"/>
      <c r="J141" s="558"/>
      <c r="K141" s="601"/>
    </row>
    <row r="142" spans="2:11" ht="12.75">
      <c r="B142" s="595"/>
      <c r="C142" s="570"/>
      <c r="D142" s="595"/>
      <c r="E142" s="837"/>
      <c r="F142" s="836"/>
      <c r="G142" s="571" t="s">
        <v>331</v>
      </c>
      <c r="H142" s="836"/>
      <c r="I142" s="913" t="s">
        <v>349</v>
      </c>
      <c r="J142" s="914" t="s">
        <v>332</v>
      </c>
      <c r="K142" s="601"/>
    </row>
    <row r="143" spans="2:11" ht="12.75">
      <c r="B143" s="597" t="s">
        <v>130</v>
      </c>
      <c r="C143" s="573" t="s">
        <v>3</v>
      </c>
      <c r="D143" s="597" t="s">
        <v>319</v>
      </c>
      <c r="E143" s="574" t="s">
        <v>333</v>
      </c>
      <c r="F143" s="583" t="s">
        <v>334</v>
      </c>
      <c r="G143" s="574" t="s">
        <v>335</v>
      </c>
      <c r="H143" s="583" t="s">
        <v>336</v>
      </c>
      <c r="I143" s="909" t="s">
        <v>363</v>
      </c>
      <c r="J143" s="910" t="s">
        <v>338</v>
      </c>
      <c r="K143" s="601"/>
    </row>
    <row r="144" spans="2:11" ht="12.75">
      <c r="B144" s="563"/>
      <c r="C144" s="564"/>
      <c r="D144" s="602"/>
      <c r="E144" s="565"/>
      <c r="F144" s="546"/>
      <c r="G144" s="565"/>
      <c r="H144" s="546"/>
      <c r="I144" s="911" t="s">
        <v>364</v>
      </c>
      <c r="J144" s="912"/>
      <c r="K144" s="601"/>
    </row>
    <row r="145" spans="2:22" ht="12.75">
      <c r="B145" s="507"/>
      <c r="C145" s="818" t="s">
        <v>339</v>
      </c>
      <c r="D145" s="485" t="s">
        <v>340</v>
      </c>
      <c r="E145" s="488" t="s">
        <v>341</v>
      </c>
      <c r="F145" s="488">
        <f>+ROUND('Resolución 138-2019-OS_CD'!F126*Factores!$B$20,2)</f>
        <v>70.48</v>
      </c>
      <c r="G145" s="488">
        <f>+ROUND('Resolución 138-2019-OS_CD'!G126*Factores!$B$20,2)</f>
        <v>65.04</v>
      </c>
      <c r="H145" s="488">
        <f>+ROUND('Resolución 138-2019-OS_CD'!H126*Factores!$B$20,2)</f>
        <v>70.02</v>
      </c>
      <c r="I145" s="333">
        <f>+ROUND('Resolución 138-2019-OS_CD'!I126*Factores!$B$20,2)</f>
        <v>66.27</v>
      </c>
      <c r="J145" s="333">
        <f>+ROUND('Resolución 138-2019-OS_CD'!J126*Factores!$B$20,2)</f>
        <v>71.16</v>
      </c>
      <c r="L145" s="496">
        <v>45.97</v>
      </c>
      <c r="M145" s="496">
        <v>42.98</v>
      </c>
      <c r="N145" s="496">
        <v>45.37</v>
      </c>
      <c r="O145" s="496">
        <v>45.73</v>
      </c>
      <c r="P145" s="496">
        <v>44.72</v>
      </c>
      <c r="R145" s="496">
        <f>+IF(L145=F145,0,1)</f>
        <v>1</v>
      </c>
      <c r="S145" s="496">
        <f>+IF(M145=G145,0,1)</f>
        <v>1</v>
      </c>
      <c r="T145" s="496">
        <f>+IF(N145=H145,0,1)</f>
        <v>1</v>
      </c>
      <c r="U145" s="496">
        <f>+IF(O145=I145,0,1)</f>
        <v>1</v>
      </c>
      <c r="V145" s="496">
        <f>+IF(P145=J145,0,1)</f>
        <v>1</v>
      </c>
    </row>
    <row r="146" spans="2:22" ht="12.75">
      <c r="B146" s="497" t="s">
        <v>357</v>
      </c>
      <c r="C146" s="813"/>
      <c r="D146" s="506" t="s">
        <v>342</v>
      </c>
      <c r="E146" s="508" t="s">
        <v>341</v>
      </c>
      <c r="F146" s="488">
        <f>+ROUND('Resolución 138-2019-OS_CD'!F127*Factores!$B$20,2)</f>
        <v>64.45</v>
      </c>
      <c r="G146" s="488">
        <f>+ROUND('Resolución 138-2019-OS_CD'!G127*Factores!$B$20,2)</f>
        <v>60.44</v>
      </c>
      <c r="H146" s="488">
        <f>+ROUND('Resolución 138-2019-OS_CD'!H127*Factores!$B$20,2)</f>
        <v>64.16</v>
      </c>
      <c r="I146" s="333">
        <f>+ROUND('Resolución 138-2019-OS_CD'!I127*Factores!$B$20,2)</f>
        <v>62.39</v>
      </c>
      <c r="J146" s="333">
        <f>+ROUND('Resolución 138-2019-OS_CD'!J127*Factores!$B$20,2)</f>
        <v>65.93</v>
      </c>
      <c r="L146" s="496">
        <v>43.22</v>
      </c>
      <c r="M146" s="496">
        <v>43.22</v>
      </c>
      <c r="N146" s="496">
        <v>45.58</v>
      </c>
      <c r="O146" s="496">
        <v>43.52</v>
      </c>
      <c r="P146" s="496">
        <v>45.76</v>
      </c>
      <c r="R146" s="496">
        <f aca="true" t="shared" si="13" ref="R146:R162">+IF(L146=F146,0,1)</f>
        <v>1</v>
      </c>
      <c r="S146" s="496">
        <f aca="true" t="shared" si="14" ref="S146:S162">+IF(M146=G146,0,1)</f>
        <v>1</v>
      </c>
      <c r="T146" s="496">
        <f aca="true" t="shared" si="15" ref="T146:T162">+IF(N146=H146,0,1)</f>
        <v>1</v>
      </c>
      <c r="U146" s="496">
        <f aca="true" t="shared" si="16" ref="U146:U162">+IF(O146=I146,0,1)</f>
        <v>1</v>
      </c>
      <c r="V146" s="496">
        <f aca="true" t="shared" si="17" ref="V146:V162">+IF(P146=J146,0,1)</f>
        <v>1</v>
      </c>
    </row>
    <row r="147" spans="2:22" ht="12.75">
      <c r="B147" s="497" t="s">
        <v>358</v>
      </c>
      <c r="C147" s="813"/>
      <c r="D147" s="506" t="s">
        <v>343</v>
      </c>
      <c r="E147" s="508" t="s">
        <v>341</v>
      </c>
      <c r="F147" s="488">
        <f>+ROUND('Resolución 138-2019-OS_CD'!F128*Factores!$B$20,2)</f>
        <v>64.45</v>
      </c>
      <c r="G147" s="488">
        <f>+ROUND('Resolución 138-2019-OS_CD'!G128*Factores!$B$20,2)</f>
        <v>60.44</v>
      </c>
      <c r="H147" s="488">
        <f>+ROUND('Resolución 138-2019-OS_CD'!H128*Factores!$B$20,2)</f>
        <v>64.16</v>
      </c>
      <c r="I147" s="333">
        <f>+ROUND('Resolución 138-2019-OS_CD'!I128*Factores!$B$20,2)</f>
        <v>62.39</v>
      </c>
      <c r="J147" s="333">
        <f>+ROUND('Resolución 138-2019-OS_CD'!J128*Factores!$B$20,2)</f>
        <v>65.93</v>
      </c>
      <c r="L147" s="496">
        <v>43.22</v>
      </c>
      <c r="M147" s="496">
        <v>43.22</v>
      </c>
      <c r="N147" s="496">
        <v>45.58</v>
      </c>
      <c r="O147" s="496">
        <v>43.52</v>
      </c>
      <c r="P147" s="496">
        <v>45.76</v>
      </c>
      <c r="R147" s="496">
        <f t="shared" si="13"/>
        <v>1</v>
      </c>
      <c r="S147" s="496">
        <f t="shared" si="14"/>
        <v>1</v>
      </c>
      <c r="T147" s="496">
        <f t="shared" si="15"/>
        <v>1</v>
      </c>
      <c r="U147" s="496">
        <f t="shared" si="16"/>
        <v>1</v>
      </c>
      <c r="V147" s="496">
        <f t="shared" si="17"/>
        <v>1</v>
      </c>
    </row>
    <row r="148" spans="2:22" ht="12.75">
      <c r="B148" s="497" t="s">
        <v>359</v>
      </c>
      <c r="C148" s="816" t="s">
        <v>344</v>
      </c>
      <c r="D148" s="506" t="s">
        <v>345</v>
      </c>
      <c r="E148" s="508" t="s">
        <v>341</v>
      </c>
      <c r="F148" s="488">
        <f>+ROUND('Resolución 138-2019-OS_CD'!F129*Factores!$B$20,2)</f>
        <v>111.54</v>
      </c>
      <c r="G148" s="488">
        <f>+ROUND('Resolución 138-2019-OS_CD'!G129*Factores!$B$20,2)</f>
        <v>111.54</v>
      </c>
      <c r="H148" s="488">
        <f>+ROUND('Resolución 138-2019-OS_CD'!H129*Factores!$B$20,2)</f>
        <v>120.05</v>
      </c>
      <c r="I148" s="333">
        <f>+ROUND('Resolución 138-2019-OS_CD'!I129*Factores!$B$20,2)</f>
        <v>113.6</v>
      </c>
      <c r="J148" s="333">
        <f>+ROUND('Resolución 138-2019-OS_CD'!J129*Factores!$B$20,2)</f>
        <v>122.08</v>
      </c>
      <c r="L148" s="496">
        <v>74.99</v>
      </c>
      <c r="M148" s="496">
        <v>74.99</v>
      </c>
      <c r="N148" s="496">
        <v>79.69</v>
      </c>
      <c r="O148" s="496">
        <v>74.13</v>
      </c>
      <c r="P148" s="496">
        <v>78.67</v>
      </c>
      <c r="R148" s="496">
        <f t="shared" si="13"/>
        <v>1</v>
      </c>
      <c r="S148" s="496">
        <f t="shared" si="14"/>
        <v>1</v>
      </c>
      <c r="T148" s="496">
        <f t="shared" si="15"/>
        <v>1</v>
      </c>
      <c r="U148" s="496">
        <f t="shared" si="16"/>
        <v>1</v>
      </c>
      <c r="V148" s="496">
        <f t="shared" si="17"/>
        <v>1</v>
      </c>
    </row>
    <row r="149" spans="2:22" ht="12.75">
      <c r="B149" s="509"/>
      <c r="C149" s="475"/>
      <c r="D149" s="506" t="s">
        <v>346</v>
      </c>
      <c r="E149" s="508" t="s">
        <v>341</v>
      </c>
      <c r="F149" s="488">
        <f>+ROUND('Resolución 138-2019-OS_CD'!F130*Factores!$B$20,2)</f>
        <v>81.44</v>
      </c>
      <c r="G149" s="488">
        <f>+ROUND('Resolución 138-2019-OS_CD'!G130*Factores!$B$20,2)</f>
        <v>81.44</v>
      </c>
      <c r="H149" s="488">
        <f>+ROUND('Resolución 138-2019-OS_CD'!H130*Factores!$B$20,2)</f>
        <v>88.06</v>
      </c>
      <c r="I149" s="333">
        <f>+ROUND('Resolución 138-2019-OS_CD'!I130*Factores!$B$20,2)</f>
        <v>82.16</v>
      </c>
      <c r="J149" s="333">
        <f>+ROUND('Resolución 138-2019-OS_CD'!J130*Factores!$B$20,2)</f>
        <v>88.73</v>
      </c>
      <c r="L149" s="496">
        <v>55.77</v>
      </c>
      <c r="M149" s="496">
        <v>55.77</v>
      </c>
      <c r="N149" s="496">
        <v>59.54</v>
      </c>
      <c r="O149" s="496">
        <v>54.55</v>
      </c>
      <c r="P149" s="496">
        <v>58.17</v>
      </c>
      <c r="R149" s="496">
        <f t="shared" si="13"/>
        <v>1</v>
      </c>
      <c r="S149" s="496">
        <f t="shared" si="14"/>
        <v>1</v>
      </c>
      <c r="T149" s="496">
        <f t="shared" si="15"/>
        <v>1</v>
      </c>
      <c r="U149" s="496">
        <f t="shared" si="16"/>
        <v>1</v>
      </c>
      <c r="V149" s="496">
        <f t="shared" si="17"/>
        <v>1</v>
      </c>
    </row>
    <row r="150" spans="2:22" ht="12.75">
      <c r="B150" s="492"/>
      <c r="C150" s="479"/>
      <c r="D150" s="510" t="s">
        <v>347</v>
      </c>
      <c r="E150" s="508" t="s">
        <v>341</v>
      </c>
      <c r="F150" s="488">
        <f>+ROUND('Resolución 138-2019-OS_CD'!F131*Factores!$B$20,2)</f>
        <v>81.44</v>
      </c>
      <c r="G150" s="488">
        <f>+ROUND('Resolución 138-2019-OS_CD'!G131*Factores!$B$20,2)</f>
        <v>81.44</v>
      </c>
      <c r="H150" s="488">
        <f>+ROUND('Resolución 138-2019-OS_CD'!H131*Factores!$B$20,2)</f>
        <v>88.06</v>
      </c>
      <c r="I150" s="333">
        <f>+ROUND('Resolución 138-2019-OS_CD'!I131*Factores!$B$20,2)</f>
        <v>82.16</v>
      </c>
      <c r="J150" s="333">
        <f>+ROUND('Resolución 138-2019-OS_CD'!J131*Factores!$B$20,2)</f>
        <v>88.73</v>
      </c>
      <c r="K150" s="883" t="s">
        <v>430</v>
      </c>
      <c r="L150" s="496">
        <v>55.77</v>
      </c>
      <c r="M150" s="496">
        <v>55.77</v>
      </c>
      <c r="N150" s="496">
        <v>59.54</v>
      </c>
      <c r="O150" s="496">
        <v>54.55</v>
      </c>
      <c r="P150" s="496">
        <v>58.17</v>
      </c>
      <c r="R150" s="496">
        <f t="shared" si="13"/>
        <v>1</v>
      </c>
      <c r="S150" s="496">
        <f t="shared" si="14"/>
        <v>1</v>
      </c>
      <c r="T150" s="496">
        <f t="shared" si="15"/>
        <v>1</v>
      </c>
      <c r="U150" s="496">
        <f t="shared" si="16"/>
        <v>1</v>
      </c>
      <c r="V150" s="496">
        <f t="shared" si="17"/>
        <v>1</v>
      </c>
    </row>
    <row r="151" spans="11:23" ht="12.75">
      <c r="K151" s="496">
        <f>+SUM(F145:J150)</f>
        <v>2400.18</v>
      </c>
      <c r="R151" s="496">
        <f t="shared" si="13"/>
        <v>0</v>
      </c>
      <c r="S151" s="496">
        <f t="shared" si="14"/>
        <v>0</v>
      </c>
      <c r="T151" s="496">
        <f t="shared" si="15"/>
        <v>0</v>
      </c>
      <c r="U151" s="496">
        <f t="shared" si="16"/>
        <v>0</v>
      </c>
      <c r="V151" s="496">
        <f t="shared" si="17"/>
        <v>0</v>
      </c>
      <c r="W151" s="525">
        <f>+SUM(R145:V151)</f>
        <v>30</v>
      </c>
    </row>
    <row r="152" spans="18:23" ht="12.75">
      <c r="R152" s="496"/>
      <c r="S152" s="496"/>
      <c r="T152" s="496"/>
      <c r="U152" s="496"/>
      <c r="V152" s="496"/>
      <c r="W152" s="525"/>
    </row>
    <row r="153" spans="2:22" ht="12.75">
      <c r="B153" s="598" t="s">
        <v>50</v>
      </c>
      <c r="C153" s="603"/>
      <c r="D153" s="603"/>
      <c r="E153" s="604"/>
      <c r="F153" s="605" t="s">
        <v>318</v>
      </c>
      <c r="G153" s="606"/>
      <c r="H153" s="606"/>
      <c r="I153" s="607"/>
      <c r="J153" s="607"/>
      <c r="R153" s="496"/>
      <c r="S153" s="496"/>
      <c r="T153" s="496"/>
      <c r="U153" s="496"/>
      <c r="V153" s="496"/>
    </row>
    <row r="154" spans="2:22" ht="12.75">
      <c r="B154" s="608"/>
      <c r="C154" s="609"/>
      <c r="D154" s="608"/>
      <c r="E154" s="838"/>
      <c r="F154" s="839"/>
      <c r="G154" s="610" t="s">
        <v>331</v>
      </c>
      <c r="H154" s="839"/>
      <c r="I154" s="915" t="s">
        <v>331</v>
      </c>
      <c r="J154" s="916" t="s">
        <v>332</v>
      </c>
      <c r="R154" s="496"/>
      <c r="S154" s="496"/>
      <c r="T154" s="496"/>
      <c r="U154" s="496"/>
      <c r="V154" s="496"/>
    </row>
    <row r="155" spans="2:22" ht="12.75">
      <c r="B155" s="597" t="s">
        <v>130</v>
      </c>
      <c r="C155" s="573" t="s">
        <v>3</v>
      </c>
      <c r="D155" s="597" t="s">
        <v>319</v>
      </c>
      <c r="E155" s="574" t="s">
        <v>333</v>
      </c>
      <c r="F155" s="583" t="s">
        <v>334</v>
      </c>
      <c r="G155" s="574" t="s">
        <v>335</v>
      </c>
      <c r="H155" s="583" t="s">
        <v>336</v>
      </c>
      <c r="I155" s="909" t="s">
        <v>337</v>
      </c>
      <c r="J155" s="910" t="s">
        <v>338</v>
      </c>
      <c r="R155" s="496"/>
      <c r="S155" s="496"/>
      <c r="T155" s="496"/>
      <c r="U155" s="496"/>
      <c r="V155" s="496"/>
    </row>
    <row r="156" spans="2:22" ht="12.75">
      <c r="B156" s="563"/>
      <c r="C156" s="564"/>
      <c r="D156" s="563"/>
      <c r="E156" s="565"/>
      <c r="F156" s="546"/>
      <c r="G156" s="565"/>
      <c r="H156" s="546"/>
      <c r="I156" s="911" t="s">
        <v>338</v>
      </c>
      <c r="J156" s="912"/>
      <c r="R156" s="496"/>
      <c r="S156" s="496"/>
      <c r="T156" s="496"/>
      <c r="U156" s="496"/>
      <c r="V156" s="496"/>
    </row>
    <row r="157" spans="2:22" ht="12.75">
      <c r="B157" s="507"/>
      <c r="C157" s="820" t="s">
        <v>320</v>
      </c>
      <c r="D157" s="495" t="s">
        <v>351</v>
      </c>
      <c r="E157" s="488" t="s">
        <v>341</v>
      </c>
      <c r="F157" s="488">
        <f>+ROUND('Resolución 138-2019-OS_CD'!F137*Factores!$B$20,2)</f>
        <v>29.34</v>
      </c>
      <c r="G157" s="488">
        <f>+ROUND('Resolución 138-2019-OS_CD'!G137*Factores!$B$20,2)</f>
        <v>28.49</v>
      </c>
      <c r="H157" s="488">
        <f>+ROUND('Resolución 138-2019-OS_CD'!H137*Factores!$B$20,2)</f>
        <v>33.47</v>
      </c>
      <c r="I157" s="333">
        <f>+ROUND('Resolución 138-2019-OS_CD'!I137*Factores!$B$20,2)</f>
        <v>31.36</v>
      </c>
      <c r="J157" s="333">
        <f>+ROUND('Resolución 138-2019-OS_CD'!J137*Factores!$B$20,2)</f>
        <v>34.57</v>
      </c>
      <c r="L157" s="496">
        <v>32.28</v>
      </c>
      <c r="M157" s="496">
        <v>29.71</v>
      </c>
      <c r="N157" s="496">
        <v>34.19</v>
      </c>
      <c r="O157" s="496">
        <v>32.4</v>
      </c>
      <c r="P157" s="496">
        <v>34.22</v>
      </c>
      <c r="R157" s="496">
        <f t="shared" si="13"/>
        <v>1</v>
      </c>
      <c r="S157" s="496">
        <f t="shared" si="14"/>
        <v>1</v>
      </c>
      <c r="T157" s="496">
        <f t="shared" si="15"/>
        <v>1</v>
      </c>
      <c r="U157" s="496">
        <f t="shared" si="16"/>
        <v>1</v>
      </c>
      <c r="V157" s="496">
        <f t="shared" si="17"/>
        <v>1</v>
      </c>
    </row>
    <row r="158" spans="2:22" ht="12.75">
      <c r="B158" s="497" t="s">
        <v>357</v>
      </c>
      <c r="C158" s="825" t="s">
        <v>328</v>
      </c>
      <c r="D158" s="511" t="s">
        <v>351</v>
      </c>
      <c r="E158" s="512" t="s">
        <v>341</v>
      </c>
      <c r="F158" s="488">
        <f>+ROUND('Resolución 138-2019-OS_CD'!F138*Factores!$B$20,2)</f>
        <v>29.43</v>
      </c>
      <c r="G158" s="488">
        <f>+ROUND('Resolución 138-2019-OS_CD'!G138*Factores!$B$20,2)</f>
        <v>30.69</v>
      </c>
      <c r="H158" s="488">
        <f>+ROUND('Resolución 138-2019-OS_CD'!H138*Factores!$B$20,2)</f>
        <v>34.57</v>
      </c>
      <c r="I158" s="333">
        <f>+ROUND('Resolución 138-2019-OS_CD'!I138*Factores!$B$20,2)</f>
        <v>33.63</v>
      </c>
      <c r="J158" s="333">
        <f>+ROUND('Resolución 138-2019-OS_CD'!J138*Factores!$B$20,2)</f>
        <v>35.07</v>
      </c>
      <c r="L158" s="496">
        <v>28.01</v>
      </c>
      <c r="M158" s="496">
        <v>28.52</v>
      </c>
      <c r="N158" s="496">
        <v>31.44</v>
      </c>
      <c r="O158" s="496">
        <v>29.35</v>
      </c>
      <c r="P158" s="496">
        <v>30.85</v>
      </c>
      <c r="R158" s="496">
        <f t="shared" si="13"/>
        <v>1</v>
      </c>
      <c r="S158" s="496">
        <f t="shared" si="14"/>
        <v>1</v>
      </c>
      <c r="T158" s="496">
        <f t="shared" si="15"/>
        <v>1</v>
      </c>
      <c r="U158" s="496">
        <f t="shared" si="16"/>
        <v>1</v>
      </c>
      <c r="V158" s="496">
        <f t="shared" si="17"/>
        <v>1</v>
      </c>
    </row>
    <row r="159" spans="2:22" ht="12.75">
      <c r="B159" s="497" t="s">
        <v>358</v>
      </c>
      <c r="C159" s="825" t="s">
        <v>339</v>
      </c>
      <c r="D159" s="511" t="s">
        <v>352</v>
      </c>
      <c r="E159" s="512" t="s">
        <v>341</v>
      </c>
      <c r="F159" s="488">
        <f>+ROUND('Resolución 138-2019-OS_CD'!F139*Factores!$B$20,2)</f>
        <v>204.65</v>
      </c>
      <c r="G159" s="488">
        <f>+ROUND('Resolución 138-2019-OS_CD'!G139*Factores!$B$20,2)</f>
        <v>204.65</v>
      </c>
      <c r="H159" s="488">
        <f>+ROUND('Resolución 138-2019-OS_CD'!H139*Factores!$B$20,2)</f>
        <v>212.11</v>
      </c>
      <c r="I159" s="333">
        <f>+ROUND('Resolución 138-2019-OS_CD'!I139*Factores!$B$20,2)</f>
        <v>223.58</v>
      </c>
      <c r="J159" s="333">
        <f>+ROUND('Resolución 138-2019-OS_CD'!J139*Factores!$B$20,2)</f>
        <v>230.96</v>
      </c>
      <c r="L159" s="496">
        <v>146.34</v>
      </c>
      <c r="M159" s="496">
        <v>146.34</v>
      </c>
      <c r="N159" s="496">
        <v>151.03</v>
      </c>
      <c r="O159" s="496">
        <v>149.27</v>
      </c>
      <c r="P159" s="496">
        <v>153.81</v>
      </c>
      <c r="R159" s="496">
        <f t="shared" si="13"/>
        <v>1</v>
      </c>
      <c r="S159" s="496">
        <f t="shared" si="14"/>
        <v>1</v>
      </c>
      <c r="T159" s="496">
        <f t="shared" si="15"/>
        <v>1</v>
      </c>
      <c r="U159" s="496">
        <f t="shared" si="16"/>
        <v>1</v>
      </c>
      <c r="V159" s="496">
        <f t="shared" si="17"/>
        <v>1</v>
      </c>
    </row>
    <row r="160" spans="2:22" ht="12.75">
      <c r="B160" s="497" t="s">
        <v>359</v>
      </c>
      <c r="C160" s="820"/>
      <c r="D160" s="511" t="s">
        <v>353</v>
      </c>
      <c r="E160" s="512" t="s">
        <v>341</v>
      </c>
      <c r="F160" s="488">
        <f>+ROUND('Resolución 138-2019-OS_CD'!F140*Factores!$B$20,2)</f>
        <v>204.65</v>
      </c>
      <c r="G160" s="488">
        <f>+ROUND('Resolución 138-2019-OS_CD'!G140*Factores!$B$20,2)</f>
        <v>204.65</v>
      </c>
      <c r="H160" s="488">
        <f>+ROUND('Resolución 138-2019-OS_CD'!H140*Factores!$B$20,2)</f>
        <v>212.11</v>
      </c>
      <c r="I160" s="333">
        <f>+ROUND('Resolución 138-2019-OS_CD'!I140*Factores!$B$20,2)</f>
        <v>223.58</v>
      </c>
      <c r="J160" s="333">
        <f>+ROUND('Resolución 138-2019-OS_CD'!J140*Factores!$B$20,2)</f>
        <v>230.96</v>
      </c>
      <c r="L160" s="496">
        <v>146.34</v>
      </c>
      <c r="M160" s="496">
        <v>146.34</v>
      </c>
      <c r="N160" s="496">
        <v>151.03</v>
      </c>
      <c r="O160" s="496">
        <v>149.27</v>
      </c>
      <c r="P160" s="496">
        <v>153.81</v>
      </c>
      <c r="R160" s="496">
        <f t="shared" si="13"/>
        <v>1</v>
      </c>
      <c r="S160" s="496">
        <f t="shared" si="14"/>
        <v>1</v>
      </c>
      <c r="T160" s="496">
        <f t="shared" si="15"/>
        <v>1</v>
      </c>
      <c r="U160" s="496">
        <f t="shared" si="16"/>
        <v>1</v>
      </c>
      <c r="V160" s="496">
        <f t="shared" si="17"/>
        <v>1</v>
      </c>
    </row>
    <row r="161" spans="2:22" ht="12.75">
      <c r="B161" s="507"/>
      <c r="C161" s="825" t="s">
        <v>344</v>
      </c>
      <c r="D161" s="511" t="s">
        <v>354</v>
      </c>
      <c r="E161" s="512" t="s">
        <v>341</v>
      </c>
      <c r="F161" s="488">
        <f>+ROUND('Resolución 138-2019-OS_CD'!F141*Factores!$B$20,2)</f>
        <v>329.76</v>
      </c>
      <c r="G161" s="488">
        <f>+ROUND('Resolución 138-2019-OS_CD'!G141*Factores!$B$20,2)</f>
        <v>300.47</v>
      </c>
      <c r="H161" s="488">
        <f>+ROUND('Resolución 138-2019-OS_CD'!H141*Factores!$B$20,2)</f>
        <v>300.47</v>
      </c>
      <c r="I161" s="333">
        <f>+ROUND('Resolución 138-2019-OS_CD'!I141*Factores!$B$20,2)</f>
        <v>328.84</v>
      </c>
      <c r="J161" s="333">
        <f>+ROUND('Resolución 138-2019-OS_CD'!J141*Factores!$B$20,2)</f>
        <v>328.84</v>
      </c>
      <c r="L161" s="496">
        <v>249.7</v>
      </c>
      <c r="M161" s="496">
        <v>224.68</v>
      </c>
      <c r="N161" s="496">
        <v>224.68</v>
      </c>
      <c r="O161" s="496">
        <v>231.29</v>
      </c>
      <c r="P161" s="496">
        <v>231.29</v>
      </c>
      <c r="R161" s="496">
        <f t="shared" si="13"/>
        <v>1</v>
      </c>
      <c r="S161" s="496">
        <f t="shared" si="14"/>
        <v>1</v>
      </c>
      <c r="T161" s="496">
        <f t="shared" si="15"/>
        <v>1</v>
      </c>
      <c r="U161" s="496">
        <f t="shared" si="16"/>
        <v>1</v>
      </c>
      <c r="V161" s="496">
        <f t="shared" si="17"/>
        <v>1</v>
      </c>
    </row>
    <row r="162" spans="2:23" ht="12.75">
      <c r="B162" s="513"/>
      <c r="C162" s="499"/>
      <c r="D162" s="511" t="s">
        <v>355</v>
      </c>
      <c r="E162" s="512" t="s">
        <v>341</v>
      </c>
      <c r="F162" s="488">
        <f>+ROUND('Resolución 138-2019-OS_CD'!F142*Factores!$B$20,2)</f>
        <v>290.56</v>
      </c>
      <c r="G162" s="488">
        <f>+ROUND('Resolución 138-2019-OS_CD'!G142*Factores!$B$20,2)</f>
        <v>290.56</v>
      </c>
      <c r="H162" s="488">
        <f>+ROUND('Resolución 138-2019-OS_CD'!H142*Factores!$B$20,2)</f>
        <v>299.29</v>
      </c>
      <c r="I162" s="333">
        <f>+ROUND('Resolución 138-2019-OS_CD'!I142*Factores!$B$20,2)</f>
        <v>318.97</v>
      </c>
      <c r="J162" s="333">
        <f>+ROUND('Resolución 138-2019-OS_CD'!J142*Factores!$B$20,2)</f>
        <v>327.48</v>
      </c>
      <c r="K162" s="883" t="s">
        <v>430</v>
      </c>
      <c r="L162" s="496">
        <v>218.41</v>
      </c>
      <c r="M162" s="496">
        <v>218.41</v>
      </c>
      <c r="N162" s="496">
        <v>223.49</v>
      </c>
      <c r="O162" s="496">
        <v>225.25</v>
      </c>
      <c r="P162" s="496">
        <v>229.91</v>
      </c>
      <c r="R162" s="496">
        <f t="shared" si="13"/>
        <v>1</v>
      </c>
      <c r="S162" s="496">
        <f t="shared" si="14"/>
        <v>1</v>
      </c>
      <c r="T162" s="496">
        <f t="shared" si="15"/>
        <v>1</v>
      </c>
      <c r="U162" s="496">
        <f t="shared" si="16"/>
        <v>1</v>
      </c>
      <c r="V162" s="496">
        <f t="shared" si="17"/>
        <v>1</v>
      </c>
      <c r="W162" s="525">
        <f>+SUM(R157:V162)</f>
        <v>30</v>
      </c>
    </row>
    <row r="163" ht="12.75">
      <c r="K163" s="496">
        <f>+SUM(F157:J162)</f>
        <v>5587.760000000002</v>
      </c>
    </row>
    <row r="165" spans="2:8" ht="18.75">
      <c r="B165" s="953" t="s">
        <v>365</v>
      </c>
      <c r="C165" s="953"/>
      <c r="D165" s="953"/>
      <c r="E165" s="953"/>
      <c r="F165" s="953"/>
      <c r="G165" s="953"/>
      <c r="H165" s="953"/>
    </row>
    <row r="167" spans="2:10" ht="12.75">
      <c r="B167" s="611" t="s">
        <v>50</v>
      </c>
      <c r="C167" s="612"/>
      <c r="D167" s="612"/>
      <c r="E167" s="613"/>
      <c r="F167" s="614" t="s">
        <v>318</v>
      </c>
      <c r="G167" s="615"/>
      <c r="H167" s="615"/>
      <c r="I167" s="616"/>
      <c r="J167" s="616"/>
    </row>
    <row r="168" spans="2:10" ht="12.75">
      <c r="B168" s="608"/>
      <c r="C168" s="617"/>
      <c r="D168" s="617"/>
      <c r="E168" s="617"/>
      <c r="F168" s="617"/>
      <c r="G168" s="617" t="s">
        <v>331</v>
      </c>
      <c r="H168" s="617"/>
      <c r="I168" s="919" t="s">
        <v>331</v>
      </c>
      <c r="J168" s="919" t="s">
        <v>336</v>
      </c>
    </row>
    <row r="169" spans="2:10" ht="12.75">
      <c r="B169" s="597" t="s">
        <v>130</v>
      </c>
      <c r="C169" s="597" t="s">
        <v>3</v>
      </c>
      <c r="D169" s="597" t="s">
        <v>319</v>
      </c>
      <c r="E169" s="597" t="s">
        <v>333</v>
      </c>
      <c r="F169" s="597" t="s">
        <v>334</v>
      </c>
      <c r="G169" s="597" t="s">
        <v>335</v>
      </c>
      <c r="H169" s="597" t="s">
        <v>336</v>
      </c>
      <c r="I169" s="917" t="s">
        <v>337</v>
      </c>
      <c r="J169" s="917" t="s">
        <v>364</v>
      </c>
    </row>
    <row r="170" spans="2:10" ht="12.75">
      <c r="B170" s="563"/>
      <c r="C170" s="563"/>
      <c r="D170" s="563"/>
      <c r="E170" s="563"/>
      <c r="F170" s="563"/>
      <c r="G170" s="563"/>
      <c r="H170" s="563"/>
      <c r="I170" s="918" t="s">
        <v>338</v>
      </c>
      <c r="J170" s="918"/>
    </row>
    <row r="171" spans="2:22" ht="12.75">
      <c r="B171" s="494"/>
      <c r="C171" s="826" t="s">
        <v>320</v>
      </c>
      <c r="D171" s="514" t="s">
        <v>321</v>
      </c>
      <c r="E171" s="512" t="s">
        <v>341</v>
      </c>
      <c r="F171" s="512">
        <f>+ROUND('Resolución 138-2019-OS_CD'!F152*Factores!$B$20,2)</f>
        <v>27.15</v>
      </c>
      <c r="G171" s="512">
        <f>+ROUND('Resolución 138-2019-OS_CD'!G152*Factores!$B$20,2)</f>
        <v>26.26</v>
      </c>
      <c r="H171" s="512">
        <f>+ROUND('Resolución 138-2019-OS_CD'!H152*Factores!$B$20,2)</f>
        <v>28.37</v>
      </c>
      <c r="I171" s="398">
        <f>+ROUND('Resolución 138-2019-OS_CD'!I152*Factores!$B$20,2)</f>
        <v>26.47</v>
      </c>
      <c r="J171" s="398">
        <f>+ROUND('Resolución 138-2019-OS_CD'!J152*Factores!$B$20,2)</f>
        <v>28.58</v>
      </c>
      <c r="L171" s="496">
        <v>20.86</v>
      </c>
      <c r="M171" s="496">
        <v>20.15</v>
      </c>
      <c r="N171" s="496">
        <v>21.49</v>
      </c>
      <c r="O171" s="496">
        <v>19.73</v>
      </c>
      <c r="P171" s="496">
        <v>21.01</v>
      </c>
      <c r="R171" s="496">
        <f>+IF(L171=F171,0,1)</f>
        <v>1</v>
      </c>
      <c r="S171" s="496">
        <f>+IF(M171=G171,0,1)</f>
        <v>1</v>
      </c>
      <c r="T171" s="496">
        <f>+IF(N171=H171,0,1)</f>
        <v>1</v>
      </c>
      <c r="U171" s="496">
        <f>+IF(O171=I171,0,1)</f>
        <v>1</v>
      </c>
      <c r="V171" s="496">
        <f>+IF(P171=J171,0,1)</f>
        <v>1</v>
      </c>
    </row>
    <row r="172" spans="2:22" ht="12.75">
      <c r="B172" s="507"/>
      <c r="C172" s="827"/>
      <c r="D172" s="514" t="s">
        <v>322</v>
      </c>
      <c r="E172" s="512" t="s">
        <v>341</v>
      </c>
      <c r="F172" s="512">
        <f>+ROUND('Resolución 138-2019-OS_CD'!F153*Factores!$B$20,2)</f>
        <v>30.6</v>
      </c>
      <c r="G172" s="512">
        <f>+ROUND('Resolución 138-2019-OS_CD'!G153*Factores!$B$20,2)</f>
        <v>29.38</v>
      </c>
      <c r="H172" s="512">
        <f>+ROUND('Resolución 138-2019-OS_CD'!H153*Factores!$B$20,2)</f>
        <v>31.79</v>
      </c>
      <c r="I172" s="398">
        <f>+ROUND('Resolución 138-2019-OS_CD'!I153*Factores!$B$20,2)</f>
        <v>29.68</v>
      </c>
      <c r="J172" s="398">
        <f>+ROUND('Resolución 138-2019-OS_CD'!J153*Factores!$B$20,2)</f>
        <v>32.04</v>
      </c>
      <c r="L172" s="496">
        <v>25.62</v>
      </c>
      <c r="M172" s="496">
        <v>24.51</v>
      </c>
      <c r="N172" s="496">
        <v>26.15</v>
      </c>
      <c r="O172" s="496">
        <v>24</v>
      </c>
      <c r="P172" s="496">
        <v>25.59</v>
      </c>
      <c r="R172" s="496">
        <f aca="true" t="shared" si="18" ref="R172:R184">+IF(L172=F172,0,1)</f>
        <v>1</v>
      </c>
      <c r="S172" s="496">
        <f aca="true" t="shared" si="19" ref="S172:S184">+IF(M172=G172,0,1)</f>
        <v>1</v>
      </c>
      <c r="T172" s="496">
        <f aca="true" t="shared" si="20" ref="T172:T184">+IF(N172=H172,0,1)</f>
        <v>1</v>
      </c>
      <c r="U172" s="496">
        <f aca="true" t="shared" si="21" ref="U172:U184">+IF(O172=I172,0,1)</f>
        <v>1</v>
      </c>
      <c r="V172" s="496">
        <f aca="true" t="shared" si="22" ref="V172:V184">+IF(P172=J172,0,1)</f>
        <v>1</v>
      </c>
    </row>
    <row r="173" spans="2:22" ht="12.75">
      <c r="B173" s="507"/>
      <c r="C173" s="827"/>
      <c r="D173" s="514" t="s">
        <v>324</v>
      </c>
      <c r="E173" s="512" t="s">
        <v>341</v>
      </c>
      <c r="F173" s="512">
        <f>+ROUND('Resolución 138-2019-OS_CD'!F154*Factores!$B$20,2)</f>
        <v>30.78</v>
      </c>
      <c r="G173" s="512">
        <f>+ROUND('Resolución 138-2019-OS_CD'!G154*Factores!$B$20,2)</f>
        <v>29.55</v>
      </c>
      <c r="H173" s="512">
        <f>+ROUND('Resolución 138-2019-OS_CD'!H154*Factores!$B$20,2)</f>
        <v>31.91</v>
      </c>
      <c r="I173" s="398">
        <f>+ROUND('Resolución 138-2019-OS_CD'!I154*Factores!$B$20,2)</f>
        <v>29.84</v>
      </c>
      <c r="J173" s="398">
        <f>+ROUND('Resolución 138-2019-OS_CD'!J154*Factores!$B$20,2)</f>
        <v>32.16</v>
      </c>
      <c r="L173" s="496">
        <v>25.68</v>
      </c>
      <c r="M173" s="496">
        <v>24.6</v>
      </c>
      <c r="N173" s="496">
        <v>26.24</v>
      </c>
      <c r="O173" s="496">
        <v>24.09</v>
      </c>
      <c r="P173" s="496">
        <v>25.68</v>
      </c>
      <c r="R173" s="496">
        <f t="shared" si="18"/>
        <v>1</v>
      </c>
      <c r="S173" s="496">
        <f t="shared" si="19"/>
        <v>1</v>
      </c>
      <c r="T173" s="496">
        <f t="shared" si="20"/>
        <v>1</v>
      </c>
      <c r="U173" s="496">
        <f t="shared" si="21"/>
        <v>1</v>
      </c>
      <c r="V173" s="496">
        <f t="shared" si="22"/>
        <v>1</v>
      </c>
    </row>
    <row r="174" spans="2:22" ht="12.75">
      <c r="B174" s="507"/>
      <c r="C174" s="828"/>
      <c r="D174" s="514" t="s">
        <v>326</v>
      </c>
      <c r="E174" s="512" t="s">
        <v>341</v>
      </c>
      <c r="F174" s="512">
        <f>+ROUND('Resolución 138-2019-OS_CD'!F155*Factores!$B$20,2)</f>
        <v>44.05</v>
      </c>
      <c r="G174" s="512">
        <f>+ROUND('Resolución 138-2019-OS_CD'!G155*Factores!$B$20,2)</f>
        <v>42.07</v>
      </c>
      <c r="H174" s="512">
        <f>+ROUND('Resolución 138-2019-OS_CD'!H155*Factores!$B$20,2)</f>
        <v>45.06</v>
      </c>
      <c r="I174" s="398">
        <f>+ROUND('Resolución 138-2019-OS_CD'!I155*Factores!$B$20,2)</f>
        <v>43.41</v>
      </c>
      <c r="J174" s="398">
        <f>+ROUND('Resolución 138-2019-OS_CD'!J155*Factores!$B$20,2)</f>
        <v>46.33</v>
      </c>
      <c r="L174" s="496">
        <v>33.69</v>
      </c>
      <c r="M174" s="496">
        <v>34.01</v>
      </c>
      <c r="N174" s="496">
        <v>35.9</v>
      </c>
      <c r="O174" s="496">
        <v>34.1</v>
      </c>
      <c r="P174" s="496">
        <v>35.93</v>
      </c>
      <c r="R174" s="496">
        <f t="shared" si="18"/>
        <v>1</v>
      </c>
      <c r="S174" s="496">
        <f t="shared" si="19"/>
        <v>1</v>
      </c>
      <c r="T174" s="496">
        <f t="shared" si="20"/>
        <v>1</v>
      </c>
      <c r="U174" s="496">
        <f t="shared" si="21"/>
        <v>1</v>
      </c>
      <c r="V174" s="496">
        <f t="shared" si="22"/>
        <v>1</v>
      </c>
    </row>
    <row r="175" spans="2:22" ht="12.75">
      <c r="B175" s="537" t="s">
        <v>357</v>
      </c>
      <c r="C175" s="826" t="s">
        <v>328</v>
      </c>
      <c r="D175" s="514" t="s">
        <v>321</v>
      </c>
      <c r="E175" s="512" t="s">
        <v>341</v>
      </c>
      <c r="F175" s="512">
        <f>+ROUND('Resolución 138-2019-OS_CD'!F156*Factores!$B$20,2)</f>
        <v>43.75</v>
      </c>
      <c r="G175" s="512">
        <f>+ROUND('Resolución 138-2019-OS_CD'!G156*Factores!$B$20,2)</f>
        <v>42.66</v>
      </c>
      <c r="H175" s="512">
        <f>+ROUND('Resolución 138-2019-OS_CD'!H156*Factores!$B$20,2)</f>
        <v>44.97</v>
      </c>
      <c r="I175" s="398">
        <f>+ROUND('Resolución 138-2019-OS_CD'!I156*Factores!$B$20,2)</f>
        <v>45.52</v>
      </c>
      <c r="J175" s="398">
        <f>+ROUND('Resolución 138-2019-OS_CD'!J156*Factores!$B$20,2)</f>
        <v>47.8</v>
      </c>
      <c r="L175" s="496">
        <v>30.91</v>
      </c>
      <c r="M175" s="496">
        <v>30.13</v>
      </c>
      <c r="N175" s="496">
        <v>32.76</v>
      </c>
      <c r="O175" s="496">
        <v>32.07</v>
      </c>
      <c r="P175" s="496">
        <v>33.42</v>
      </c>
      <c r="R175" s="496">
        <f t="shared" si="18"/>
        <v>1</v>
      </c>
      <c r="S175" s="496">
        <f t="shared" si="19"/>
        <v>1</v>
      </c>
      <c r="T175" s="496">
        <f t="shared" si="20"/>
        <v>1</v>
      </c>
      <c r="U175" s="496">
        <f t="shared" si="21"/>
        <v>1</v>
      </c>
      <c r="V175" s="496">
        <f t="shared" si="22"/>
        <v>1</v>
      </c>
    </row>
    <row r="176" spans="2:22" ht="12.75">
      <c r="B176" s="537" t="s">
        <v>366</v>
      </c>
      <c r="C176" s="827"/>
      <c r="D176" s="514" t="s">
        <v>322</v>
      </c>
      <c r="E176" s="512" t="s">
        <v>341</v>
      </c>
      <c r="F176" s="512">
        <f>+ROUND('Resolución 138-2019-OS_CD'!F157*Factores!$B$20,2)</f>
        <v>33.22</v>
      </c>
      <c r="G176" s="512">
        <f>+ROUND('Resolución 138-2019-OS_CD'!G157*Factores!$B$20,2)</f>
        <v>33.22</v>
      </c>
      <c r="H176" s="512">
        <f>+ROUND('Resolución 138-2019-OS_CD'!H157*Factores!$B$20,2)</f>
        <v>35.95</v>
      </c>
      <c r="I176" s="398">
        <f>+ROUND('Resolución 138-2019-OS_CD'!I157*Factores!$B$20,2)</f>
        <v>33.47</v>
      </c>
      <c r="J176" s="398">
        <f>+ROUND('Resolución 138-2019-OS_CD'!J157*Factores!$B$20,2)</f>
        <v>36.17</v>
      </c>
      <c r="L176" s="496">
        <v>26.78</v>
      </c>
      <c r="M176" s="496">
        <v>25.62</v>
      </c>
      <c r="N176" s="496">
        <v>27.29</v>
      </c>
      <c r="O176" s="496">
        <v>26.21</v>
      </c>
      <c r="P176" s="496">
        <v>26.72</v>
      </c>
      <c r="R176" s="496">
        <f t="shared" si="18"/>
        <v>1</v>
      </c>
      <c r="S176" s="496">
        <f t="shared" si="19"/>
        <v>1</v>
      </c>
      <c r="T176" s="496">
        <f t="shared" si="20"/>
        <v>1</v>
      </c>
      <c r="U176" s="496">
        <f t="shared" si="21"/>
        <v>1</v>
      </c>
      <c r="V176" s="496">
        <f t="shared" si="22"/>
        <v>1</v>
      </c>
    </row>
    <row r="177" spans="2:22" ht="12.75">
      <c r="B177" s="537" t="s">
        <v>367</v>
      </c>
      <c r="C177" s="829"/>
      <c r="D177" s="514" t="s">
        <v>324</v>
      </c>
      <c r="E177" s="512" t="s">
        <v>341</v>
      </c>
      <c r="F177" s="512">
        <f>+ROUND('Resolución 138-2019-OS_CD'!F158*Factores!$B$20,2)</f>
        <v>45.98</v>
      </c>
      <c r="G177" s="512">
        <f>+ROUND('Resolución 138-2019-OS_CD'!G158*Factores!$B$20,2)</f>
        <v>46.62</v>
      </c>
      <c r="H177" s="512">
        <f>+ROUND('Resolución 138-2019-OS_CD'!H158*Factores!$B$20,2)</f>
        <v>48.73</v>
      </c>
      <c r="I177" s="398">
        <f>+ROUND('Resolución 138-2019-OS_CD'!I158*Factores!$B$20,2)</f>
        <v>49.31</v>
      </c>
      <c r="J177" s="398">
        <f>+ROUND('Resolución 138-2019-OS_CD'!J158*Factores!$B$20,2)</f>
        <v>51.26</v>
      </c>
      <c r="L177" s="496">
        <v>35.66</v>
      </c>
      <c r="M177" s="496">
        <v>34.49</v>
      </c>
      <c r="N177" s="496">
        <v>35.75</v>
      </c>
      <c r="O177" s="496">
        <v>36.7</v>
      </c>
      <c r="P177" s="496">
        <v>36.23</v>
      </c>
      <c r="R177" s="496">
        <f t="shared" si="18"/>
        <v>1</v>
      </c>
      <c r="S177" s="496">
        <f t="shared" si="19"/>
        <v>1</v>
      </c>
      <c r="T177" s="496">
        <f t="shared" si="20"/>
        <v>1</v>
      </c>
      <c r="U177" s="496">
        <f t="shared" si="21"/>
        <v>1</v>
      </c>
      <c r="V177" s="496">
        <f t="shared" si="22"/>
        <v>1</v>
      </c>
    </row>
    <row r="178" spans="2:22" ht="12.75">
      <c r="B178" s="537" t="s">
        <v>368</v>
      </c>
      <c r="C178" s="830"/>
      <c r="D178" s="514" t="s">
        <v>326</v>
      </c>
      <c r="E178" s="512" t="s">
        <v>341</v>
      </c>
      <c r="F178" s="512">
        <f>+ROUND('Resolución 138-2019-OS_CD'!F159*Factores!$B$20,2)</f>
        <v>65.42</v>
      </c>
      <c r="G178" s="512">
        <f>+ROUND('Resolución 138-2019-OS_CD'!G159*Factores!$B$20,2)</f>
        <v>63.15</v>
      </c>
      <c r="H178" s="512">
        <f>+ROUND('Resolución 138-2019-OS_CD'!H159*Factores!$B$20,2)</f>
        <v>66.27</v>
      </c>
      <c r="I178" s="398">
        <f>+ROUND('Resolución 138-2019-OS_CD'!I159*Factores!$B$20,2)</f>
        <v>67.86</v>
      </c>
      <c r="J178" s="398">
        <f>+ROUND('Resolución 138-2019-OS_CD'!J159*Factores!$B$20,2)</f>
        <v>70.98</v>
      </c>
      <c r="L178" s="496">
        <v>47.67</v>
      </c>
      <c r="M178" s="496">
        <v>46.12</v>
      </c>
      <c r="N178" s="496">
        <v>48.03</v>
      </c>
      <c r="O178" s="496">
        <v>47.76</v>
      </c>
      <c r="P178" s="496">
        <v>49.62</v>
      </c>
      <c r="R178" s="496">
        <f t="shared" si="18"/>
        <v>1</v>
      </c>
      <c r="S178" s="496">
        <f t="shared" si="19"/>
        <v>1</v>
      </c>
      <c r="T178" s="496">
        <f t="shared" si="20"/>
        <v>1</v>
      </c>
      <c r="U178" s="496">
        <f t="shared" si="21"/>
        <v>1</v>
      </c>
      <c r="V178" s="496">
        <f t="shared" si="22"/>
        <v>1</v>
      </c>
    </row>
    <row r="179" spans="2:22" ht="12.75">
      <c r="B179" s="507"/>
      <c r="C179" s="831" t="s">
        <v>339</v>
      </c>
      <c r="D179" s="514" t="s">
        <v>340</v>
      </c>
      <c r="E179" s="512" t="s">
        <v>341</v>
      </c>
      <c r="F179" s="512">
        <f>+ROUND('Resolución 138-2019-OS_CD'!F160*Factores!$B$20,2)</f>
        <v>70.48</v>
      </c>
      <c r="G179" s="512">
        <f>+ROUND('Resolución 138-2019-OS_CD'!G160*Factores!$B$20,2)</f>
        <v>65.04</v>
      </c>
      <c r="H179" s="512">
        <f>+ROUND('Resolución 138-2019-OS_CD'!H160*Factores!$B$20,2)</f>
        <v>70.02</v>
      </c>
      <c r="I179" s="398">
        <f>+ROUND('Resolución 138-2019-OS_CD'!I160*Factores!$B$20,2)</f>
        <v>66.27</v>
      </c>
      <c r="J179" s="398">
        <f>+ROUND('Resolución 138-2019-OS_CD'!J160*Factores!$B$20,2)</f>
        <v>71.16</v>
      </c>
      <c r="L179" s="496">
        <v>55.57</v>
      </c>
      <c r="M179" s="496">
        <v>51.41</v>
      </c>
      <c r="N179" s="496">
        <v>54.52</v>
      </c>
      <c r="O179" s="496">
        <v>50.93</v>
      </c>
      <c r="P179" s="496">
        <v>53.95</v>
      </c>
      <c r="R179" s="496">
        <f t="shared" si="18"/>
        <v>1</v>
      </c>
      <c r="S179" s="496">
        <f t="shared" si="19"/>
        <v>1</v>
      </c>
      <c r="T179" s="496">
        <f t="shared" si="20"/>
        <v>1</v>
      </c>
      <c r="U179" s="496">
        <f t="shared" si="21"/>
        <v>1</v>
      </c>
      <c r="V179" s="496">
        <f t="shared" si="22"/>
        <v>1</v>
      </c>
    </row>
    <row r="180" spans="2:22" ht="12.75">
      <c r="B180" s="507"/>
      <c r="C180" s="829"/>
      <c r="D180" s="514" t="s">
        <v>342</v>
      </c>
      <c r="E180" s="512" t="s">
        <v>341</v>
      </c>
      <c r="F180" s="512">
        <f>+ROUND('Resolución 138-2019-OS_CD'!F161*Factores!$B$20,2)</f>
        <v>64.45</v>
      </c>
      <c r="G180" s="512">
        <f>+ROUND('Resolución 138-2019-OS_CD'!G161*Factores!$B$20,2)</f>
        <v>60.44</v>
      </c>
      <c r="H180" s="512">
        <f>+ROUND('Resolución 138-2019-OS_CD'!H161*Factores!$B$20,2)</f>
        <v>64.16</v>
      </c>
      <c r="I180" s="398">
        <f>+ROUND('Resolución 138-2019-OS_CD'!I161*Factores!$B$20,2)</f>
        <v>62.39</v>
      </c>
      <c r="J180" s="398">
        <f>+ROUND('Resolución 138-2019-OS_CD'!J161*Factores!$B$20,2)</f>
        <v>65.93</v>
      </c>
      <c r="L180" s="496">
        <v>50.75</v>
      </c>
      <c r="M180" s="496">
        <v>47.73</v>
      </c>
      <c r="N180" s="496">
        <v>49.89</v>
      </c>
      <c r="O180" s="496">
        <v>51.47</v>
      </c>
      <c r="P180" s="496">
        <v>49.86</v>
      </c>
      <c r="R180" s="496">
        <f t="shared" si="18"/>
        <v>1</v>
      </c>
      <c r="S180" s="496">
        <f t="shared" si="19"/>
        <v>1</v>
      </c>
      <c r="T180" s="496">
        <f t="shared" si="20"/>
        <v>1</v>
      </c>
      <c r="U180" s="496">
        <f t="shared" si="21"/>
        <v>1</v>
      </c>
      <c r="V180" s="496">
        <f t="shared" si="22"/>
        <v>1</v>
      </c>
    </row>
    <row r="181" spans="2:22" ht="12.75">
      <c r="B181" s="507"/>
      <c r="C181" s="830"/>
      <c r="D181" s="514" t="s">
        <v>343</v>
      </c>
      <c r="E181" s="512" t="s">
        <v>341</v>
      </c>
      <c r="F181" s="512">
        <f>+ROUND('Resolución 138-2019-OS_CD'!F162*Factores!$B$20,2)</f>
        <v>64.45</v>
      </c>
      <c r="G181" s="512">
        <f>+ROUND('Resolución 138-2019-OS_CD'!G162*Factores!$B$20,2)</f>
        <v>60.44</v>
      </c>
      <c r="H181" s="512">
        <f>+ROUND('Resolución 138-2019-OS_CD'!H162*Factores!$B$20,2)</f>
        <v>64.16</v>
      </c>
      <c r="I181" s="398">
        <f>+ROUND('Resolución 138-2019-OS_CD'!I162*Factores!$B$20,2)</f>
        <v>62.39</v>
      </c>
      <c r="J181" s="398">
        <f>+ROUND('Resolución 138-2019-OS_CD'!J162*Factores!$B$20,2)</f>
        <v>65.93</v>
      </c>
      <c r="L181" s="496">
        <v>50.75</v>
      </c>
      <c r="M181" s="496">
        <v>47.73</v>
      </c>
      <c r="N181" s="496">
        <v>49.89</v>
      </c>
      <c r="O181" s="496">
        <v>51.47</v>
      </c>
      <c r="P181" s="496">
        <v>49.86</v>
      </c>
      <c r="R181" s="496">
        <f t="shared" si="18"/>
        <v>1</v>
      </c>
      <c r="S181" s="496">
        <f t="shared" si="19"/>
        <v>1</v>
      </c>
      <c r="T181" s="496">
        <f t="shared" si="20"/>
        <v>1</v>
      </c>
      <c r="U181" s="496">
        <f t="shared" si="21"/>
        <v>1</v>
      </c>
      <c r="V181" s="496">
        <f t="shared" si="22"/>
        <v>1</v>
      </c>
    </row>
    <row r="182" spans="2:22" ht="12.75">
      <c r="B182" s="507"/>
      <c r="C182" s="831" t="s">
        <v>344</v>
      </c>
      <c r="D182" s="514" t="s">
        <v>345</v>
      </c>
      <c r="E182" s="512" t="s">
        <v>341</v>
      </c>
      <c r="F182" s="512">
        <f>+ROUND('Resolución 138-2019-OS_CD'!F163*Factores!$B$20,2)</f>
        <v>124.26</v>
      </c>
      <c r="G182" s="512">
        <f>+ROUND('Resolución 138-2019-OS_CD'!G163*Factores!$B$20,2)</f>
        <v>124.26</v>
      </c>
      <c r="H182" s="512">
        <f>+ROUND('Resolución 138-2019-OS_CD'!H163*Factores!$B$20,2)</f>
        <v>132.78</v>
      </c>
      <c r="I182" s="398">
        <f>+ROUND('Resolución 138-2019-OS_CD'!I163*Factores!$B$20,2)</f>
        <v>128.69</v>
      </c>
      <c r="J182" s="398">
        <f>+ROUND('Resolución 138-2019-OS_CD'!J163*Factores!$B$20,2)</f>
        <v>137.13</v>
      </c>
      <c r="L182" s="496">
        <v>95.44</v>
      </c>
      <c r="M182" s="496">
        <v>95.44</v>
      </c>
      <c r="N182" s="496">
        <v>100.82</v>
      </c>
      <c r="O182" s="496">
        <v>95.65</v>
      </c>
      <c r="P182" s="496">
        <v>100.82</v>
      </c>
      <c r="R182" s="496">
        <f t="shared" si="18"/>
        <v>1</v>
      </c>
      <c r="S182" s="496">
        <f t="shared" si="19"/>
        <v>1</v>
      </c>
      <c r="T182" s="496">
        <f t="shared" si="20"/>
        <v>1</v>
      </c>
      <c r="U182" s="496">
        <f t="shared" si="21"/>
        <v>1</v>
      </c>
      <c r="V182" s="496">
        <f t="shared" si="22"/>
        <v>1</v>
      </c>
    </row>
    <row r="183" spans="2:22" ht="12.75">
      <c r="B183" s="507"/>
      <c r="C183" s="829"/>
      <c r="D183" s="514" t="s">
        <v>346</v>
      </c>
      <c r="E183" s="512" t="s">
        <v>341</v>
      </c>
      <c r="F183" s="512">
        <f>+ROUND('Resolución 138-2019-OS_CD'!F164*Factores!$B$20,2)</f>
        <v>94.17</v>
      </c>
      <c r="G183" s="512">
        <f>+ROUND('Resolución 138-2019-OS_CD'!G164*Factores!$B$20,2)</f>
        <v>94.17</v>
      </c>
      <c r="H183" s="512">
        <f>+ROUND('Resolución 138-2019-OS_CD'!H164*Factores!$B$20,2)</f>
        <v>100.84</v>
      </c>
      <c r="I183" s="398">
        <f>+ROUND('Resolución 138-2019-OS_CD'!I164*Factores!$B$20,2)</f>
        <v>97.17</v>
      </c>
      <c r="J183" s="398">
        <f>+ROUND('Resolución 138-2019-OS_CD'!J164*Factores!$B$20,2)</f>
        <v>103.74</v>
      </c>
      <c r="L183" s="496">
        <v>70.96</v>
      </c>
      <c r="M183" s="496">
        <v>70.96</v>
      </c>
      <c r="N183" s="496">
        <v>75.11</v>
      </c>
      <c r="O183" s="496">
        <v>70.66</v>
      </c>
      <c r="P183" s="496">
        <v>74.67</v>
      </c>
      <c r="R183" s="496">
        <f t="shared" si="18"/>
        <v>1</v>
      </c>
      <c r="S183" s="496">
        <f t="shared" si="19"/>
        <v>1</v>
      </c>
      <c r="T183" s="496">
        <f t="shared" si="20"/>
        <v>1</v>
      </c>
      <c r="U183" s="496">
        <f t="shared" si="21"/>
        <v>1</v>
      </c>
      <c r="V183" s="496">
        <f t="shared" si="22"/>
        <v>1</v>
      </c>
    </row>
    <row r="184" spans="2:23" ht="12.75">
      <c r="B184" s="513"/>
      <c r="C184" s="515"/>
      <c r="D184" s="514" t="s">
        <v>347</v>
      </c>
      <c r="E184" s="512" t="s">
        <v>341</v>
      </c>
      <c r="F184" s="512">
        <f>+ROUND('Resolución 138-2019-OS_CD'!F165*Factores!$B$20,2)</f>
        <v>94.17</v>
      </c>
      <c r="G184" s="512">
        <f>+ROUND('Resolución 138-2019-OS_CD'!G165*Factores!$B$20,2)</f>
        <v>94.17</v>
      </c>
      <c r="H184" s="512">
        <f>+ROUND('Resolución 138-2019-OS_CD'!H165*Factores!$B$20,2)</f>
        <v>100.84</v>
      </c>
      <c r="I184" s="398">
        <f>+ROUND('Resolución 138-2019-OS_CD'!I165*Factores!$B$20,2)</f>
        <v>97.17</v>
      </c>
      <c r="J184" s="398">
        <f>+ROUND('Resolución 138-2019-OS_CD'!J165*Factores!$B$20,2)</f>
        <v>103.74</v>
      </c>
      <c r="K184" s="883" t="s">
        <v>430</v>
      </c>
      <c r="L184" s="496">
        <v>70.96</v>
      </c>
      <c r="M184" s="496">
        <v>70.96</v>
      </c>
      <c r="N184" s="496">
        <v>75.11</v>
      </c>
      <c r="O184" s="496">
        <v>70.66</v>
      </c>
      <c r="P184" s="496">
        <v>74.67</v>
      </c>
      <c r="R184" s="496">
        <f t="shared" si="18"/>
        <v>1</v>
      </c>
      <c r="S184" s="496">
        <f t="shared" si="19"/>
        <v>1</v>
      </c>
      <c r="T184" s="496">
        <f t="shared" si="20"/>
        <v>1</v>
      </c>
      <c r="U184" s="496">
        <f t="shared" si="21"/>
        <v>1</v>
      </c>
      <c r="V184" s="496">
        <f t="shared" si="22"/>
        <v>1</v>
      </c>
      <c r="W184" s="525">
        <f>+SUM(R171:V184)</f>
        <v>70</v>
      </c>
    </row>
    <row r="185" spans="11:22" ht="12.75">
      <c r="K185" s="496">
        <f>+SUM(F171:J184)</f>
        <v>4242.8</v>
      </c>
      <c r="R185" s="496"/>
      <c r="S185" s="496"/>
      <c r="T185" s="496"/>
      <c r="U185" s="496"/>
      <c r="V185" s="496"/>
    </row>
    <row r="186" spans="18:22" ht="12.75">
      <c r="R186" s="496"/>
      <c r="S186" s="496"/>
      <c r="T186" s="496"/>
      <c r="U186" s="496"/>
      <c r="V186" s="496"/>
    </row>
    <row r="187" spans="2:22" ht="18.75">
      <c r="B187" s="953" t="s">
        <v>369</v>
      </c>
      <c r="C187" s="953"/>
      <c r="D187" s="953"/>
      <c r="E187" s="953"/>
      <c r="F187" s="953"/>
      <c r="G187" s="953"/>
      <c r="H187" s="953"/>
      <c r="R187" s="496"/>
      <c r="S187" s="496"/>
      <c r="T187" s="496"/>
      <c r="U187" s="496"/>
      <c r="V187" s="496"/>
    </row>
    <row r="188" spans="18:22" ht="12.75">
      <c r="R188" s="496"/>
      <c r="S188" s="496"/>
      <c r="T188" s="496"/>
      <c r="U188" s="496"/>
      <c r="V188" s="496"/>
    </row>
    <row r="189" spans="2:22" ht="12.75">
      <c r="B189" s="611" t="s">
        <v>50</v>
      </c>
      <c r="C189" s="603"/>
      <c r="D189" s="612"/>
      <c r="E189" s="613"/>
      <c r="F189" s="614" t="s">
        <v>318</v>
      </c>
      <c r="G189" s="615"/>
      <c r="H189" s="615"/>
      <c r="I189" s="616"/>
      <c r="J189" s="616"/>
      <c r="R189" s="496"/>
      <c r="S189" s="496"/>
      <c r="T189" s="496"/>
      <c r="U189" s="496"/>
      <c r="V189" s="496"/>
    </row>
    <row r="190" spans="2:22" ht="12.75">
      <c r="B190" s="618"/>
      <c r="C190" s="617"/>
      <c r="D190" s="617"/>
      <c r="E190" s="617"/>
      <c r="F190" s="617"/>
      <c r="G190" s="617" t="s">
        <v>349</v>
      </c>
      <c r="H190" s="617"/>
      <c r="I190" s="919" t="s">
        <v>331</v>
      </c>
      <c r="J190" s="919" t="s">
        <v>332</v>
      </c>
      <c r="R190" s="496"/>
      <c r="S190" s="496"/>
      <c r="T190" s="496"/>
      <c r="U190" s="496"/>
      <c r="V190" s="496"/>
    </row>
    <row r="191" spans="2:22" ht="12.75">
      <c r="B191" s="581" t="s">
        <v>130</v>
      </c>
      <c r="C191" s="597" t="s">
        <v>3</v>
      </c>
      <c r="D191" s="597" t="s">
        <v>319</v>
      </c>
      <c r="E191" s="597" t="s">
        <v>333</v>
      </c>
      <c r="F191" s="597" t="s">
        <v>334</v>
      </c>
      <c r="G191" s="597" t="s">
        <v>363</v>
      </c>
      <c r="H191" s="597" t="s">
        <v>336</v>
      </c>
      <c r="I191" s="917" t="s">
        <v>337</v>
      </c>
      <c r="J191" s="917" t="s">
        <v>338</v>
      </c>
      <c r="R191" s="496"/>
      <c r="S191" s="496"/>
      <c r="T191" s="496"/>
      <c r="U191" s="496"/>
      <c r="V191" s="496"/>
    </row>
    <row r="192" spans="2:22" ht="12.75">
      <c r="B192" s="584"/>
      <c r="C192" s="563"/>
      <c r="D192" s="563"/>
      <c r="E192" s="563"/>
      <c r="F192" s="563"/>
      <c r="G192" s="563"/>
      <c r="H192" s="563"/>
      <c r="I192" s="918" t="s">
        <v>338</v>
      </c>
      <c r="J192" s="918"/>
      <c r="R192" s="496"/>
      <c r="S192" s="496"/>
      <c r="T192" s="496"/>
      <c r="U192" s="496"/>
      <c r="V192" s="496"/>
    </row>
    <row r="193" spans="2:22" ht="12.75">
      <c r="B193" s="494"/>
      <c r="C193" s="827" t="s">
        <v>320</v>
      </c>
      <c r="D193" s="514" t="s">
        <v>321</v>
      </c>
      <c r="E193" s="512" t="s">
        <v>341</v>
      </c>
      <c r="F193" s="512">
        <f>+ROUND('Resolución 138-2019-OS_CD'!F175*Factores!$B$20,2)</f>
        <v>29.29</v>
      </c>
      <c r="G193" s="512">
        <f>+ROUND('Resolución 138-2019-OS_CD'!G175*Factores!$B$20,2)</f>
        <v>29.29</v>
      </c>
      <c r="H193" s="512">
        <f>+ROUND('Resolución 138-2019-OS_CD'!H175*Factores!$B$20,2)</f>
        <v>31.66</v>
      </c>
      <c r="I193" s="398">
        <f>+ROUND('Resolución 138-2019-OS_CD'!I175*Factores!$B$20,2)</f>
        <v>29.55</v>
      </c>
      <c r="J193" s="398">
        <f>+ROUND('Resolución 138-2019-OS_CD'!J175*Factores!$B$20,2)</f>
        <v>31.87</v>
      </c>
      <c r="L193" s="496">
        <v>31.03</v>
      </c>
      <c r="M193" s="496">
        <v>31.03</v>
      </c>
      <c r="N193" s="496">
        <v>33.15</v>
      </c>
      <c r="O193" s="496">
        <v>30.37</v>
      </c>
      <c r="P193" s="496">
        <v>32.4</v>
      </c>
      <c r="R193" s="496">
        <f aca="true" t="shared" si="23" ref="R193:R204">+IF(L193=F193,0,1)</f>
        <v>1</v>
      </c>
      <c r="S193" s="496">
        <f aca="true" t="shared" si="24" ref="S193:S204">+IF(M193=G193,0,1)</f>
        <v>1</v>
      </c>
      <c r="T193" s="496">
        <f aca="true" t="shared" si="25" ref="T193:T204">+IF(N193=H193,0,1)</f>
        <v>1</v>
      </c>
      <c r="U193" s="496">
        <f aca="true" t="shared" si="26" ref="U193:U204">+IF(O193=I193,0,1)</f>
        <v>1</v>
      </c>
      <c r="V193" s="496">
        <f aca="true" t="shared" si="27" ref="V193:V204">+IF(P193=J193,0,1)</f>
        <v>1</v>
      </c>
    </row>
    <row r="194" spans="2:22" ht="12.75">
      <c r="B194" s="507"/>
      <c r="C194" s="827"/>
      <c r="D194" s="514" t="s">
        <v>324</v>
      </c>
      <c r="E194" s="512" t="s">
        <v>341</v>
      </c>
      <c r="F194" s="512">
        <f>+ROUND('Resolución 138-2019-OS_CD'!F176*Factores!$B$20,2)</f>
        <v>32.04</v>
      </c>
      <c r="G194" s="512">
        <f>+ROUND('Resolución 138-2019-OS_CD'!G176*Factores!$B$20,2)</f>
        <v>32.04</v>
      </c>
      <c r="H194" s="512">
        <f>+ROUND('Resolución 138-2019-OS_CD'!H176*Factores!$B$20,2)</f>
        <v>34.61</v>
      </c>
      <c r="I194" s="398">
        <f>+ROUND('Resolución 138-2019-OS_CD'!I176*Factores!$B$20,2)</f>
        <v>32.34</v>
      </c>
      <c r="J194" s="398">
        <f>+ROUND('Resolución 138-2019-OS_CD'!J176*Factores!$B$20,2)</f>
        <v>34.91</v>
      </c>
      <c r="L194" s="496">
        <v>37.33</v>
      </c>
      <c r="M194" s="496">
        <v>37.36</v>
      </c>
      <c r="N194" s="496">
        <v>39.87</v>
      </c>
      <c r="O194" s="496">
        <v>36.59</v>
      </c>
      <c r="P194" s="496">
        <v>38.98</v>
      </c>
      <c r="R194" s="496">
        <f t="shared" si="23"/>
        <v>1</v>
      </c>
      <c r="S194" s="496">
        <f t="shared" si="24"/>
        <v>1</v>
      </c>
      <c r="T194" s="496">
        <f t="shared" si="25"/>
        <v>1</v>
      </c>
      <c r="U194" s="496">
        <f t="shared" si="26"/>
        <v>1</v>
      </c>
      <c r="V194" s="496">
        <f t="shared" si="27"/>
        <v>1</v>
      </c>
    </row>
    <row r="195" spans="2:22" ht="12.75">
      <c r="B195" s="537" t="s">
        <v>370</v>
      </c>
      <c r="C195" s="828"/>
      <c r="D195" s="514" t="s">
        <v>326</v>
      </c>
      <c r="E195" s="512" t="s">
        <v>341</v>
      </c>
      <c r="F195" s="512">
        <f>+ROUND('Resolución 138-2019-OS_CD'!F177*Factores!$B$20,2)</f>
        <v>47.26</v>
      </c>
      <c r="G195" s="512">
        <f>+ROUND('Resolución 138-2019-OS_CD'!G177*Factores!$B$20,2)</f>
        <v>47.59</v>
      </c>
      <c r="H195" s="512">
        <f>+ROUND('Resolución 138-2019-OS_CD'!H177*Factores!$B$20,2)</f>
        <v>50.8</v>
      </c>
      <c r="I195" s="398">
        <f>+ROUND('Resolución 138-2019-OS_CD'!I177*Factores!$B$20,2)</f>
        <v>48.78</v>
      </c>
      <c r="J195" s="398">
        <f>+ROUND('Resolución 138-2019-OS_CD'!J177*Factores!$B$20,2)</f>
        <v>51.9</v>
      </c>
      <c r="L195" s="496">
        <v>39.99</v>
      </c>
      <c r="M195" s="496">
        <v>37.99</v>
      </c>
      <c r="N195" s="496">
        <v>39.87</v>
      </c>
      <c r="O195" s="496">
        <v>40.29</v>
      </c>
      <c r="P195" s="496">
        <v>39.63</v>
      </c>
      <c r="R195" s="496">
        <f t="shared" si="23"/>
        <v>1</v>
      </c>
      <c r="S195" s="496">
        <f t="shared" si="24"/>
        <v>1</v>
      </c>
      <c r="T195" s="496">
        <f t="shared" si="25"/>
        <v>1</v>
      </c>
      <c r="U195" s="496">
        <f t="shared" si="26"/>
        <v>1</v>
      </c>
      <c r="V195" s="496">
        <f t="shared" si="27"/>
        <v>1</v>
      </c>
    </row>
    <row r="196" spans="2:22" ht="12.75">
      <c r="B196" s="537" t="s">
        <v>371</v>
      </c>
      <c r="C196" s="832" t="s">
        <v>328</v>
      </c>
      <c r="D196" s="516" t="s">
        <v>321</v>
      </c>
      <c r="E196" s="512" t="s">
        <v>341</v>
      </c>
      <c r="F196" s="512">
        <f>+ROUND('Resolución 138-2019-OS_CD'!F178*Factores!$B$20,2)</f>
        <v>39.5</v>
      </c>
      <c r="G196" s="512">
        <f>+ROUND('Resolución 138-2019-OS_CD'!G178*Factores!$B$20,2)</f>
        <v>38.4</v>
      </c>
      <c r="H196" s="512">
        <f>+ROUND('Resolución 138-2019-OS_CD'!H178*Factores!$B$20,2)</f>
        <v>40.76</v>
      </c>
      <c r="I196" s="398">
        <f>+ROUND('Resolución 138-2019-OS_CD'!I178*Factores!$B$20,2)</f>
        <v>40.29</v>
      </c>
      <c r="J196" s="398">
        <f>+ROUND('Resolución 138-2019-OS_CD'!J178*Factores!$B$20,2)</f>
        <v>42.66</v>
      </c>
      <c r="L196" s="496">
        <v>50.27</v>
      </c>
      <c r="M196" s="496">
        <v>48.39</v>
      </c>
      <c r="N196" s="496">
        <v>50.51</v>
      </c>
      <c r="O196" s="496">
        <v>49.92</v>
      </c>
      <c r="P196" s="496">
        <v>51.95</v>
      </c>
      <c r="R196" s="496">
        <f t="shared" si="23"/>
        <v>1</v>
      </c>
      <c r="S196" s="496">
        <f t="shared" si="24"/>
        <v>1</v>
      </c>
      <c r="T196" s="496">
        <f t="shared" si="25"/>
        <v>1</v>
      </c>
      <c r="U196" s="496">
        <f t="shared" si="26"/>
        <v>1</v>
      </c>
      <c r="V196" s="496">
        <f t="shared" si="27"/>
        <v>1</v>
      </c>
    </row>
    <row r="197" spans="2:22" ht="12.75">
      <c r="B197" s="537" t="s">
        <v>372</v>
      </c>
      <c r="C197" s="827"/>
      <c r="D197" s="514" t="s">
        <v>324</v>
      </c>
      <c r="E197" s="512" t="s">
        <v>341</v>
      </c>
      <c r="F197" s="512">
        <f>+ROUND('Resolución 138-2019-OS_CD'!F179*Factores!$B$20,2)</f>
        <v>48.05</v>
      </c>
      <c r="G197" s="512">
        <f>+ROUND('Resolución 138-2019-OS_CD'!G179*Factores!$B$20,2)</f>
        <v>48.05</v>
      </c>
      <c r="H197" s="512">
        <f>+ROUND('Resolución 138-2019-OS_CD'!H179*Factores!$B$20,2)</f>
        <v>51.17</v>
      </c>
      <c r="I197" s="398">
        <f>+ROUND('Resolución 138-2019-OS_CD'!I179*Factores!$B$20,2)</f>
        <v>50.07</v>
      </c>
      <c r="J197" s="398">
        <f>+ROUND('Resolución 138-2019-OS_CD'!J179*Factores!$B$20,2)</f>
        <v>53.16</v>
      </c>
      <c r="L197" s="496">
        <v>57.75</v>
      </c>
      <c r="M197" s="496">
        <v>53.95</v>
      </c>
      <c r="N197" s="496">
        <v>60.44</v>
      </c>
      <c r="O197" s="496">
        <v>59.12</v>
      </c>
      <c r="P197" s="496">
        <v>61.69</v>
      </c>
      <c r="R197" s="496">
        <f t="shared" si="23"/>
        <v>1</v>
      </c>
      <c r="S197" s="496">
        <f t="shared" si="24"/>
        <v>1</v>
      </c>
      <c r="T197" s="496">
        <f t="shared" si="25"/>
        <v>1</v>
      </c>
      <c r="U197" s="496">
        <f t="shared" si="26"/>
        <v>1</v>
      </c>
      <c r="V197" s="496">
        <f t="shared" si="27"/>
        <v>1</v>
      </c>
    </row>
    <row r="198" spans="2:22" ht="12.75">
      <c r="B198" s="537" t="s">
        <v>367</v>
      </c>
      <c r="C198" s="830"/>
      <c r="D198" s="514" t="s">
        <v>326</v>
      </c>
      <c r="E198" s="512" t="s">
        <v>341</v>
      </c>
      <c r="F198" s="512">
        <f>+ROUND('Resolución 138-2019-OS_CD'!F180*Factores!$B$20,2)</f>
        <v>75.37</v>
      </c>
      <c r="G198" s="512">
        <f>+ROUND('Resolución 138-2019-OS_CD'!G180*Factores!$B$20,2)</f>
        <v>76.93</v>
      </c>
      <c r="H198" s="512">
        <f>+ROUND('Resolución 138-2019-OS_CD'!H180*Factores!$B$20,2)</f>
        <v>81.19</v>
      </c>
      <c r="I198" s="398">
        <f>+ROUND('Resolución 138-2019-OS_CD'!I180*Factores!$B$20,2)</f>
        <v>81.74</v>
      </c>
      <c r="J198" s="398">
        <f>+ROUND('Resolución 138-2019-OS_CD'!J180*Factores!$B$20,2)</f>
        <v>85.95</v>
      </c>
      <c r="L198" s="496">
        <v>61.33</v>
      </c>
      <c r="M198" s="496">
        <v>59.06</v>
      </c>
      <c r="N198" s="496">
        <v>61.45</v>
      </c>
      <c r="O198" s="496">
        <v>61.36</v>
      </c>
      <c r="P198" s="496">
        <v>63.64</v>
      </c>
      <c r="R198" s="496">
        <f t="shared" si="23"/>
        <v>1</v>
      </c>
      <c r="S198" s="496">
        <f t="shared" si="24"/>
        <v>1</v>
      </c>
      <c r="T198" s="496">
        <f t="shared" si="25"/>
        <v>1</v>
      </c>
      <c r="U198" s="496">
        <f t="shared" si="26"/>
        <v>1</v>
      </c>
      <c r="V198" s="496">
        <f t="shared" si="27"/>
        <v>1</v>
      </c>
    </row>
    <row r="199" spans="2:22" ht="12.75">
      <c r="B199" s="537" t="s">
        <v>368</v>
      </c>
      <c r="C199" s="831" t="s">
        <v>339</v>
      </c>
      <c r="D199" s="514" t="s">
        <v>340</v>
      </c>
      <c r="E199" s="512" t="s">
        <v>341</v>
      </c>
      <c r="F199" s="512">
        <f>+ROUND('Resolución 138-2019-OS_CD'!F181*Factores!$B$20,2)</f>
        <v>94.85</v>
      </c>
      <c r="G199" s="512">
        <f>+ROUND('Resolución 138-2019-OS_CD'!G181*Factores!$B$20,2)</f>
        <v>94.85</v>
      </c>
      <c r="H199" s="512">
        <f>+ROUND('Resolución 138-2019-OS_CD'!H181*Factores!$B$20,2)</f>
        <v>102.26</v>
      </c>
      <c r="I199" s="398">
        <f>+ROUND('Resolución 138-2019-OS_CD'!I181*Factores!$B$20,2)</f>
        <v>96.19</v>
      </c>
      <c r="J199" s="398">
        <f>+ROUND('Resolución 138-2019-OS_CD'!J181*Factores!$B$20,2)</f>
        <v>103.62</v>
      </c>
      <c r="L199" s="496">
        <v>74.25</v>
      </c>
      <c r="M199" s="496">
        <v>74.25</v>
      </c>
      <c r="N199" s="496">
        <v>78.94</v>
      </c>
      <c r="O199" s="496">
        <v>73.23</v>
      </c>
      <c r="P199" s="496">
        <v>77.77</v>
      </c>
      <c r="R199" s="496">
        <f t="shared" si="23"/>
        <v>1</v>
      </c>
      <c r="S199" s="496">
        <f t="shared" si="24"/>
        <v>1</v>
      </c>
      <c r="T199" s="496">
        <f t="shared" si="25"/>
        <v>1</v>
      </c>
      <c r="U199" s="496">
        <f t="shared" si="26"/>
        <v>1</v>
      </c>
      <c r="V199" s="496">
        <f t="shared" si="27"/>
        <v>1</v>
      </c>
    </row>
    <row r="200" spans="2:22" ht="12.75">
      <c r="B200" s="507"/>
      <c r="C200" s="829"/>
      <c r="D200" s="514" t="s">
        <v>342</v>
      </c>
      <c r="E200" s="512" t="s">
        <v>341</v>
      </c>
      <c r="F200" s="512">
        <f>+ROUND('Resolución 138-2019-OS_CD'!F182*Factores!$B$20,2)</f>
        <v>88.82</v>
      </c>
      <c r="G200" s="512">
        <f>+ROUND('Resolución 138-2019-OS_CD'!G182*Factores!$B$20,2)</f>
        <v>88.82</v>
      </c>
      <c r="H200" s="512">
        <f>+ROUND('Resolución 138-2019-OS_CD'!H182*Factores!$B$20,2)</f>
        <v>95.43</v>
      </c>
      <c r="I200" s="398">
        <f>+ROUND('Resolución 138-2019-OS_CD'!I182*Factores!$B$20,2)</f>
        <v>90.84</v>
      </c>
      <c r="J200" s="398">
        <f>+ROUND('Resolución 138-2019-OS_CD'!J182*Factores!$B$20,2)</f>
        <v>97.42</v>
      </c>
      <c r="L200" s="496">
        <v>69.55</v>
      </c>
      <c r="M200" s="496">
        <v>69.55</v>
      </c>
      <c r="N200" s="496">
        <v>73.71</v>
      </c>
      <c r="O200" s="496">
        <v>69.17</v>
      </c>
      <c r="P200" s="496">
        <v>73.17</v>
      </c>
      <c r="R200" s="496">
        <f t="shared" si="23"/>
        <v>1</v>
      </c>
      <c r="S200" s="496">
        <f t="shared" si="24"/>
        <v>1</v>
      </c>
      <c r="T200" s="496">
        <f t="shared" si="25"/>
        <v>1</v>
      </c>
      <c r="U200" s="496">
        <f t="shared" si="26"/>
        <v>1</v>
      </c>
      <c r="V200" s="496">
        <f t="shared" si="27"/>
        <v>1</v>
      </c>
    </row>
    <row r="201" spans="2:22" ht="12.75">
      <c r="B201" s="507"/>
      <c r="C201" s="830"/>
      <c r="D201" s="514" t="s">
        <v>343</v>
      </c>
      <c r="E201" s="512" t="s">
        <v>341</v>
      </c>
      <c r="F201" s="512">
        <f>+ROUND('Resolución 138-2019-OS_CD'!F183*Factores!$B$20,2)</f>
        <v>88.82</v>
      </c>
      <c r="G201" s="512">
        <f>+ROUND('Resolución 138-2019-OS_CD'!G183*Factores!$B$20,2)</f>
        <v>88.82</v>
      </c>
      <c r="H201" s="512">
        <f>+ROUND('Resolución 138-2019-OS_CD'!H183*Factores!$B$20,2)</f>
        <v>95.43</v>
      </c>
      <c r="I201" s="398">
        <f>+ROUND('Resolución 138-2019-OS_CD'!I183*Factores!$B$20,2)</f>
        <v>90.84</v>
      </c>
      <c r="J201" s="398">
        <f>+ROUND('Resolución 138-2019-OS_CD'!J183*Factores!$B$20,2)</f>
        <v>97.42</v>
      </c>
      <c r="L201" s="496">
        <v>69.55</v>
      </c>
      <c r="M201" s="496">
        <v>69.55</v>
      </c>
      <c r="N201" s="496">
        <v>73.71</v>
      </c>
      <c r="O201" s="496">
        <v>69.17</v>
      </c>
      <c r="P201" s="496">
        <v>73.17</v>
      </c>
      <c r="R201" s="496">
        <f t="shared" si="23"/>
        <v>1</v>
      </c>
      <c r="S201" s="496">
        <f t="shared" si="24"/>
        <v>1</v>
      </c>
      <c r="T201" s="496">
        <f t="shared" si="25"/>
        <v>1</v>
      </c>
      <c r="U201" s="496">
        <f t="shared" si="26"/>
        <v>1</v>
      </c>
      <c r="V201" s="496">
        <f t="shared" si="27"/>
        <v>1</v>
      </c>
    </row>
    <row r="202" spans="2:22" ht="12.75">
      <c r="B202" s="507"/>
      <c r="C202" s="831" t="s">
        <v>344</v>
      </c>
      <c r="D202" s="514" t="s">
        <v>345</v>
      </c>
      <c r="E202" s="512" t="s">
        <v>341</v>
      </c>
      <c r="F202" s="512">
        <f>+ROUND('Resolución 138-2019-OS_CD'!F184*Factores!$B$20,2)</f>
        <v>141.84</v>
      </c>
      <c r="G202" s="512">
        <f>+ROUND('Resolución 138-2019-OS_CD'!G184*Factores!$B$20,2)</f>
        <v>141.84</v>
      </c>
      <c r="H202" s="512">
        <f>+ROUND('Resolución 138-2019-OS_CD'!H184*Factores!$B$20,2)</f>
        <v>151.75</v>
      </c>
      <c r="I202" s="398">
        <f>+ROUND('Resolución 138-2019-OS_CD'!I184*Factores!$B$20,2)</f>
        <v>146.48</v>
      </c>
      <c r="J202" s="398">
        <f>+ROUND('Resolución 138-2019-OS_CD'!J184*Factores!$B$20,2)</f>
        <v>156.35</v>
      </c>
      <c r="L202" s="496">
        <v>116.18</v>
      </c>
      <c r="M202" s="496">
        <v>116.18</v>
      </c>
      <c r="N202" s="496">
        <v>122.46</v>
      </c>
      <c r="O202" s="496">
        <v>117.05</v>
      </c>
      <c r="P202" s="496">
        <v>123.06</v>
      </c>
      <c r="R202" s="496">
        <f t="shared" si="23"/>
        <v>1</v>
      </c>
      <c r="S202" s="496">
        <f t="shared" si="24"/>
        <v>1</v>
      </c>
      <c r="T202" s="496">
        <f t="shared" si="25"/>
        <v>1</v>
      </c>
      <c r="U202" s="496">
        <f t="shared" si="26"/>
        <v>1</v>
      </c>
      <c r="V202" s="496">
        <f t="shared" si="27"/>
        <v>1</v>
      </c>
    </row>
    <row r="203" spans="2:22" ht="12.75">
      <c r="B203" s="507"/>
      <c r="C203" s="829"/>
      <c r="D203" s="514" t="s">
        <v>346</v>
      </c>
      <c r="E203" s="512" t="s">
        <v>341</v>
      </c>
      <c r="F203" s="512">
        <f>+ROUND('Resolución 138-2019-OS_CD'!F185*Factores!$B$20,2)</f>
        <v>114.36</v>
      </c>
      <c r="G203" s="512">
        <f>+ROUND('Resolución 138-2019-OS_CD'!G185*Factores!$B$20,2)</f>
        <v>114.36</v>
      </c>
      <c r="H203" s="512">
        <f>+ROUND('Resolución 138-2019-OS_CD'!H185*Factores!$B$20,2)</f>
        <v>122.88</v>
      </c>
      <c r="I203" s="398">
        <f>+ROUND('Resolución 138-2019-OS_CD'!I185*Factores!$B$20,2)</f>
        <v>117.02</v>
      </c>
      <c r="J203" s="398">
        <f>+ROUND('Resolución 138-2019-OS_CD'!J185*Factores!$B$20,2)</f>
        <v>125.45</v>
      </c>
      <c r="L203" s="496">
        <v>94.69</v>
      </c>
      <c r="M203" s="496">
        <v>94.69</v>
      </c>
      <c r="N203" s="496">
        <v>100.07</v>
      </c>
      <c r="O203" s="496">
        <v>94.84</v>
      </c>
      <c r="P203" s="496">
        <v>100.01</v>
      </c>
      <c r="R203" s="496">
        <f t="shared" si="23"/>
        <v>1</v>
      </c>
      <c r="S203" s="496">
        <f t="shared" si="24"/>
        <v>1</v>
      </c>
      <c r="T203" s="496">
        <f t="shared" si="25"/>
        <v>1</v>
      </c>
      <c r="U203" s="496">
        <f t="shared" si="26"/>
        <v>1</v>
      </c>
      <c r="V203" s="496">
        <f t="shared" si="27"/>
        <v>1</v>
      </c>
    </row>
    <row r="204" spans="2:23" ht="12.75">
      <c r="B204" s="513"/>
      <c r="C204" s="515"/>
      <c r="D204" s="514" t="s">
        <v>347</v>
      </c>
      <c r="E204" s="512" t="s">
        <v>341</v>
      </c>
      <c r="F204" s="512">
        <f>+ROUND('Resolución 138-2019-OS_CD'!F186*Factores!$B$20,2)</f>
        <v>114.36</v>
      </c>
      <c r="G204" s="512">
        <f>+ROUND('Resolución 138-2019-OS_CD'!G186*Factores!$B$20,2)</f>
        <v>114.36</v>
      </c>
      <c r="H204" s="512">
        <f>+ROUND('Resolución 138-2019-OS_CD'!H186*Factores!$B$20,2)</f>
        <v>122.88</v>
      </c>
      <c r="I204" s="398">
        <f>+ROUND('Resolución 138-2019-OS_CD'!I186*Factores!$B$20,2)</f>
        <v>117.02</v>
      </c>
      <c r="J204" s="398">
        <f>+ROUND('Resolución 138-2019-OS_CD'!J186*Factores!$B$20,2)</f>
        <v>125.45</v>
      </c>
      <c r="K204" s="883" t="s">
        <v>430</v>
      </c>
      <c r="L204" s="496">
        <v>94.69</v>
      </c>
      <c r="M204" s="496">
        <v>94.69</v>
      </c>
      <c r="N204" s="496">
        <v>100.07</v>
      </c>
      <c r="O204" s="496">
        <v>94.84</v>
      </c>
      <c r="P204" s="496">
        <v>100.01</v>
      </c>
      <c r="R204" s="496">
        <f t="shared" si="23"/>
        <v>1</v>
      </c>
      <c r="S204" s="496">
        <f t="shared" si="24"/>
        <v>1</v>
      </c>
      <c r="T204" s="496">
        <f t="shared" si="25"/>
        <v>1</v>
      </c>
      <c r="U204" s="496">
        <f t="shared" si="26"/>
        <v>1</v>
      </c>
      <c r="V204" s="496">
        <f t="shared" si="27"/>
        <v>1</v>
      </c>
      <c r="W204" s="525">
        <f>+SUM(R193:V204)</f>
        <v>60</v>
      </c>
    </row>
    <row r="205" spans="11:22" ht="12.75">
      <c r="K205" s="496">
        <f>+SUM(F193:J204)</f>
        <v>4758.05</v>
      </c>
      <c r="R205" s="496"/>
      <c r="S205" s="496"/>
      <c r="T205" s="496"/>
      <c r="U205" s="496"/>
      <c r="V205" s="496"/>
    </row>
    <row r="206" spans="18:22" ht="12.75">
      <c r="R206" s="496"/>
      <c r="S206" s="496"/>
      <c r="T206" s="496"/>
      <c r="U206" s="496"/>
      <c r="V206" s="496"/>
    </row>
    <row r="207" spans="2:22" ht="18.75">
      <c r="B207" s="953" t="s">
        <v>373</v>
      </c>
      <c r="C207" s="953"/>
      <c r="D207" s="953"/>
      <c r="E207" s="953"/>
      <c r="F207" s="953"/>
      <c r="G207" s="953"/>
      <c r="H207" s="953"/>
      <c r="I207" s="953"/>
      <c r="J207" s="953"/>
      <c r="R207" s="496"/>
      <c r="S207" s="496"/>
      <c r="T207" s="496"/>
      <c r="U207" s="496"/>
      <c r="V207" s="496"/>
    </row>
    <row r="208" spans="2:22" ht="18.75">
      <c r="B208" s="517"/>
      <c r="C208" s="517"/>
      <c r="D208" s="517"/>
      <c r="E208" s="517"/>
      <c r="F208" s="517"/>
      <c r="G208" s="517"/>
      <c r="H208" s="517"/>
      <c r="R208" s="496"/>
      <c r="S208" s="496"/>
      <c r="T208" s="496"/>
      <c r="U208" s="496"/>
      <c r="V208" s="496"/>
    </row>
    <row r="209" spans="2:22" ht="12.75">
      <c r="B209" s="611" t="s">
        <v>50</v>
      </c>
      <c r="C209" s="612"/>
      <c r="D209" s="612"/>
      <c r="E209" s="613"/>
      <c r="F209" s="614" t="s">
        <v>318</v>
      </c>
      <c r="G209" s="615"/>
      <c r="H209" s="615"/>
      <c r="I209" s="920"/>
      <c r="J209" s="920"/>
      <c r="R209" s="496"/>
      <c r="S209" s="496"/>
      <c r="T209" s="496"/>
      <c r="U209" s="496"/>
      <c r="V209" s="496"/>
    </row>
    <row r="210" spans="2:22" ht="12.75">
      <c r="B210" s="608"/>
      <c r="C210" s="617"/>
      <c r="D210" s="617"/>
      <c r="E210" s="617"/>
      <c r="F210" s="617"/>
      <c r="G210" s="617" t="s">
        <v>331</v>
      </c>
      <c r="H210" s="617"/>
      <c r="I210" s="919" t="s">
        <v>331</v>
      </c>
      <c r="J210" s="919" t="s">
        <v>332</v>
      </c>
      <c r="R210" s="496"/>
      <c r="S210" s="496"/>
      <c r="T210" s="496"/>
      <c r="U210" s="496"/>
      <c r="V210" s="496"/>
    </row>
    <row r="211" spans="2:22" ht="12.75">
      <c r="B211" s="597" t="s">
        <v>130</v>
      </c>
      <c r="C211" s="597" t="s">
        <v>3</v>
      </c>
      <c r="D211" s="597" t="s">
        <v>319</v>
      </c>
      <c r="E211" s="597" t="s">
        <v>333</v>
      </c>
      <c r="F211" s="597" t="s">
        <v>334</v>
      </c>
      <c r="G211" s="597" t="s">
        <v>335</v>
      </c>
      <c r="H211" s="597" t="s">
        <v>336</v>
      </c>
      <c r="I211" s="917" t="s">
        <v>337</v>
      </c>
      <c r="J211" s="917" t="s">
        <v>338</v>
      </c>
      <c r="R211" s="496"/>
      <c r="S211" s="496"/>
      <c r="T211" s="496"/>
      <c r="U211" s="496"/>
      <c r="V211" s="496"/>
    </row>
    <row r="212" spans="2:22" ht="12.75">
      <c r="B212" s="563"/>
      <c r="C212" s="563"/>
      <c r="D212" s="563"/>
      <c r="E212" s="563"/>
      <c r="F212" s="563"/>
      <c r="G212" s="563"/>
      <c r="H212" s="563"/>
      <c r="I212" s="918" t="s">
        <v>338</v>
      </c>
      <c r="J212" s="918"/>
      <c r="R212" s="496"/>
      <c r="S212" s="496"/>
      <c r="T212" s="496"/>
      <c r="U212" s="496"/>
      <c r="V212" s="496"/>
    </row>
    <row r="213" spans="2:22" ht="12.75">
      <c r="B213" s="954" t="s">
        <v>374</v>
      </c>
      <c r="C213" s="826" t="s">
        <v>320</v>
      </c>
      <c r="D213" s="514" t="s">
        <v>375</v>
      </c>
      <c r="E213" s="512" t="s">
        <v>341</v>
      </c>
      <c r="F213" s="512">
        <f>+ROUND('Resolución 138-2019-OS_CD'!F199*Factores!$B$20,2)</f>
        <v>65.08</v>
      </c>
      <c r="G213" s="512">
        <f>+ROUND('Resolución 138-2019-OS_CD'!G199*Factores!$B$20,2)</f>
        <v>59.69</v>
      </c>
      <c r="H213" s="512">
        <f>+ROUND('Resolución 138-2019-OS_CD'!H199*Factores!$B$20,2)</f>
        <v>64.66</v>
      </c>
      <c r="I213" s="398">
        <f>+ROUND('Resolución 138-2019-OS_CD'!I199*Factores!$B$20,2)</f>
        <v>59.94</v>
      </c>
      <c r="J213" s="398">
        <f>+ROUND('Resolución 138-2019-OS_CD'!J199*Factores!$B$20,2)</f>
        <v>64.83</v>
      </c>
      <c r="L213" s="496">
        <v>50.01</v>
      </c>
      <c r="M213" s="496">
        <v>45.85</v>
      </c>
      <c r="N213" s="496">
        <v>48.96</v>
      </c>
      <c r="O213" s="496">
        <v>44.69</v>
      </c>
      <c r="P213" s="496">
        <v>47.7</v>
      </c>
      <c r="R213" s="496">
        <f aca="true" t="shared" si="28" ref="R213:R220">+IF(L213=F213,0,1)</f>
        <v>1</v>
      </c>
      <c r="S213" s="496">
        <f aca="true" t="shared" si="29" ref="S213:S220">+IF(M213=G213,0,1)</f>
        <v>1</v>
      </c>
      <c r="T213" s="496">
        <f aca="true" t="shared" si="30" ref="T213:T220">+IF(N213=H213,0,1)</f>
        <v>1</v>
      </c>
      <c r="U213" s="496">
        <f aca="true" t="shared" si="31" ref="U213:U220">+IF(O213=I213,0,1)</f>
        <v>1</v>
      </c>
      <c r="V213" s="496">
        <f aca="true" t="shared" si="32" ref="V213:V220">+IF(P213=J213,0,1)</f>
        <v>1</v>
      </c>
    </row>
    <row r="214" spans="2:22" ht="12.75">
      <c r="B214" s="954"/>
      <c r="C214" s="828"/>
      <c r="D214" s="514" t="s">
        <v>376</v>
      </c>
      <c r="E214" s="512" t="s">
        <v>341</v>
      </c>
      <c r="F214" s="512">
        <f>+ROUND('Resolución 138-2019-OS_CD'!F200*Factores!$B$20,2)</f>
        <v>65.04</v>
      </c>
      <c r="G214" s="512">
        <f>+ROUND('Resolución 138-2019-OS_CD'!G200*Factores!$B$20,2)</f>
        <v>59.64</v>
      </c>
      <c r="H214" s="512">
        <f>+ROUND('Resolución 138-2019-OS_CD'!H200*Factores!$B$20,2)</f>
        <v>64.58</v>
      </c>
      <c r="I214" s="398">
        <f>+ROUND('Resolución 138-2019-OS_CD'!I200*Factores!$B$20,2)</f>
        <v>65.33</v>
      </c>
      <c r="J214" s="398">
        <f>+ROUND('Resolución 138-2019-OS_CD'!J200*Factores!$B$20,2)</f>
        <v>64.8</v>
      </c>
      <c r="L214" s="496">
        <v>42.26</v>
      </c>
      <c r="M214" s="496">
        <v>39.25</v>
      </c>
      <c r="N214" s="496">
        <v>41.94</v>
      </c>
      <c r="O214" s="496">
        <v>41.22</v>
      </c>
      <c r="P214" s="496">
        <v>40.86</v>
      </c>
      <c r="R214" s="496">
        <f t="shared" si="28"/>
        <v>1</v>
      </c>
      <c r="S214" s="496">
        <f t="shared" si="29"/>
        <v>1</v>
      </c>
      <c r="T214" s="496">
        <f t="shared" si="30"/>
        <v>1</v>
      </c>
      <c r="U214" s="496">
        <f t="shared" si="31"/>
        <v>1</v>
      </c>
      <c r="V214" s="496">
        <f t="shared" si="32"/>
        <v>1</v>
      </c>
    </row>
    <row r="215" spans="2:22" ht="12.75">
      <c r="B215" s="954"/>
      <c r="C215" s="826" t="s">
        <v>328</v>
      </c>
      <c r="D215" s="514" t="s">
        <v>375</v>
      </c>
      <c r="E215" s="512" t="s">
        <v>341</v>
      </c>
      <c r="F215" s="512">
        <f>+ROUND('Resolución 138-2019-OS_CD'!F201*Factores!$B$20,2)</f>
        <v>65.04</v>
      </c>
      <c r="G215" s="512">
        <f>+ROUND('Resolución 138-2019-OS_CD'!G201*Factores!$B$20,2)</f>
        <v>59.64</v>
      </c>
      <c r="H215" s="512">
        <f>+ROUND('Resolución 138-2019-OS_CD'!H201*Factores!$B$20,2)</f>
        <v>64.58</v>
      </c>
      <c r="I215" s="398">
        <f>+ROUND('Resolución 138-2019-OS_CD'!I201*Factores!$B$20,2)</f>
        <v>59.9</v>
      </c>
      <c r="J215" s="398">
        <f>+ROUND('Resolución 138-2019-OS_CD'!J201*Factores!$B$20,2)</f>
        <v>64.8</v>
      </c>
      <c r="L215" s="496">
        <v>54.91</v>
      </c>
      <c r="M215" s="496">
        <v>54.91</v>
      </c>
      <c r="N215" s="496">
        <v>58.67</v>
      </c>
      <c r="O215" s="496">
        <v>53.59</v>
      </c>
      <c r="P215" s="496">
        <v>57.21</v>
      </c>
      <c r="R215" s="496">
        <f t="shared" si="28"/>
        <v>1</v>
      </c>
      <c r="S215" s="496">
        <f t="shared" si="29"/>
        <v>1</v>
      </c>
      <c r="T215" s="496">
        <f t="shared" si="30"/>
        <v>1</v>
      </c>
      <c r="U215" s="496">
        <f t="shared" si="31"/>
        <v>1</v>
      </c>
      <c r="V215" s="496">
        <f t="shared" si="32"/>
        <v>1</v>
      </c>
    </row>
    <row r="216" spans="2:22" ht="12.75">
      <c r="B216" s="954"/>
      <c r="C216" s="830"/>
      <c r="D216" s="514" t="s">
        <v>376</v>
      </c>
      <c r="E216" s="512" t="s">
        <v>341</v>
      </c>
      <c r="F216" s="512">
        <f>+ROUND('Resolución 138-2019-OS_CD'!F202*Factores!$B$20,2)</f>
        <v>71.58</v>
      </c>
      <c r="G216" s="512">
        <f>+ROUND('Resolución 138-2019-OS_CD'!G202*Factores!$B$20,2)</f>
        <v>71.58</v>
      </c>
      <c r="H216" s="512">
        <f>+ROUND('Resolución 138-2019-OS_CD'!H202*Factores!$B$20,2)</f>
        <v>77.48</v>
      </c>
      <c r="I216" s="398">
        <f>+ROUND('Resolución 138-2019-OS_CD'!I202*Factores!$B$20,2)</f>
        <v>71.87</v>
      </c>
      <c r="J216" s="398">
        <f>+ROUND('Resolución 138-2019-OS_CD'!J202*Factores!$B$20,2)</f>
        <v>77.82</v>
      </c>
      <c r="L216" s="496">
        <v>49.98</v>
      </c>
      <c r="M216" s="496">
        <v>45.79</v>
      </c>
      <c r="N216" s="496">
        <v>48.93</v>
      </c>
      <c r="O216" s="496">
        <v>44.66</v>
      </c>
      <c r="P216" s="496">
        <v>47.67</v>
      </c>
      <c r="R216" s="496">
        <f t="shared" si="28"/>
        <v>1</v>
      </c>
      <c r="S216" s="496">
        <f t="shared" si="29"/>
        <v>1</v>
      </c>
      <c r="T216" s="496">
        <f t="shared" si="30"/>
        <v>1</v>
      </c>
      <c r="U216" s="496">
        <f t="shared" si="31"/>
        <v>1</v>
      </c>
      <c r="V216" s="496">
        <f t="shared" si="32"/>
        <v>1</v>
      </c>
    </row>
    <row r="217" spans="2:22" ht="12.75">
      <c r="B217" s="954"/>
      <c r="C217" s="831" t="s">
        <v>339</v>
      </c>
      <c r="D217" s="514" t="s">
        <v>375</v>
      </c>
      <c r="E217" s="512" t="s">
        <v>341</v>
      </c>
      <c r="F217" s="512">
        <f>+ROUND('Resolución 138-2019-OS_CD'!F203*Factores!$B$20,2)</f>
        <v>251.61</v>
      </c>
      <c r="G217" s="512">
        <f>+ROUND('Resolución 138-2019-OS_CD'!G203*Factores!$B$20,2)</f>
        <v>251.61</v>
      </c>
      <c r="H217" s="512">
        <f>+ROUND('Resolución 138-2019-OS_CD'!H203*Factores!$B$20,2)</f>
        <v>261.51</v>
      </c>
      <c r="I217" s="398">
        <f>+ROUND('Resolución 138-2019-OS_CD'!I203*Factores!$B$20,2)</f>
        <v>250.22</v>
      </c>
      <c r="J217" s="398">
        <f>+ROUND('Resolución 138-2019-OS_CD'!J203*Factores!$B$20,2)</f>
        <v>260.08</v>
      </c>
      <c r="L217" s="496">
        <v>188.96</v>
      </c>
      <c r="M217" s="496">
        <v>188.96</v>
      </c>
      <c r="N217" s="496">
        <v>195.18</v>
      </c>
      <c r="O217" s="496">
        <v>177.49</v>
      </c>
      <c r="P217" s="496">
        <v>183.49</v>
      </c>
      <c r="R217" s="496">
        <f t="shared" si="28"/>
        <v>1</v>
      </c>
      <c r="S217" s="496">
        <f t="shared" si="29"/>
        <v>1</v>
      </c>
      <c r="T217" s="496">
        <f t="shared" si="30"/>
        <v>1</v>
      </c>
      <c r="U217" s="496">
        <f t="shared" si="31"/>
        <v>1</v>
      </c>
      <c r="V217" s="496">
        <f t="shared" si="32"/>
        <v>1</v>
      </c>
    </row>
    <row r="218" spans="2:22" ht="12.75">
      <c r="B218" s="954"/>
      <c r="C218" s="830"/>
      <c r="D218" s="514" t="s">
        <v>376</v>
      </c>
      <c r="E218" s="512" t="s">
        <v>341</v>
      </c>
      <c r="F218" s="512">
        <f>+ROUND('Resolución 138-2019-OS_CD'!F204*Factores!$B$20,2)</f>
        <v>102.18</v>
      </c>
      <c r="G218" s="512">
        <f>+ROUND('Resolución 138-2019-OS_CD'!G204*Factores!$B$20,2)</f>
        <v>102.18</v>
      </c>
      <c r="H218" s="512">
        <f>+ROUND('Resolución 138-2019-OS_CD'!H204*Factores!$B$20,2)</f>
        <v>110.69</v>
      </c>
      <c r="I218" s="398">
        <f>+ROUND('Resolución 138-2019-OS_CD'!I204*Factores!$B$20,2)</f>
        <v>102.64</v>
      </c>
      <c r="J218" s="398">
        <f>+ROUND('Resolución 138-2019-OS_CD'!J204*Factores!$B$20,2)</f>
        <v>111.08</v>
      </c>
      <c r="L218" s="496">
        <v>78.4</v>
      </c>
      <c r="M218" s="496">
        <v>78.4</v>
      </c>
      <c r="N218" s="496">
        <v>83.78</v>
      </c>
      <c r="O218" s="496">
        <v>76.52</v>
      </c>
      <c r="P218" s="496">
        <v>81.66</v>
      </c>
      <c r="R218" s="496">
        <f t="shared" si="28"/>
        <v>1</v>
      </c>
      <c r="S218" s="496">
        <f t="shared" si="29"/>
        <v>1</v>
      </c>
      <c r="T218" s="496">
        <f t="shared" si="30"/>
        <v>1</v>
      </c>
      <c r="U218" s="496">
        <f t="shared" si="31"/>
        <v>1</v>
      </c>
      <c r="V218" s="496">
        <f t="shared" si="32"/>
        <v>1</v>
      </c>
    </row>
    <row r="219" spans="2:22" ht="12.75">
      <c r="B219" s="954"/>
      <c r="C219" s="831" t="s">
        <v>344</v>
      </c>
      <c r="D219" s="514" t="s">
        <v>375</v>
      </c>
      <c r="E219" s="512" t="s">
        <v>341</v>
      </c>
      <c r="F219" s="512">
        <f>+ROUND('Resolución 138-2019-OS_CD'!F205*Factores!$B$20,2)</f>
        <v>445.35</v>
      </c>
      <c r="G219" s="512">
        <f>+ROUND('Resolución 138-2019-OS_CD'!G205*Factores!$B$20,2)</f>
        <v>445.35</v>
      </c>
      <c r="H219" s="512">
        <f>+ROUND('Resolución 138-2019-OS_CD'!H205*Factores!$B$20,2)</f>
        <v>457.27</v>
      </c>
      <c r="I219" s="398">
        <f>+ROUND('Resolución 138-2019-OS_CD'!I205*Factores!$B$20,2)</f>
        <v>469.71</v>
      </c>
      <c r="J219" s="398">
        <f>+ROUND('Resolución 138-2019-OS_CD'!J205*Factores!$B$20,2)</f>
        <v>481.56</v>
      </c>
      <c r="L219" s="496">
        <v>321.62</v>
      </c>
      <c r="M219" s="496">
        <v>321.62</v>
      </c>
      <c r="N219" s="496">
        <v>329.12</v>
      </c>
      <c r="O219" s="496">
        <v>319.79</v>
      </c>
      <c r="P219" s="496">
        <v>327</v>
      </c>
      <c r="R219" s="496">
        <f t="shared" si="28"/>
        <v>1</v>
      </c>
      <c r="S219" s="496">
        <f t="shared" si="29"/>
        <v>1</v>
      </c>
      <c r="T219" s="496">
        <f t="shared" si="30"/>
        <v>1</v>
      </c>
      <c r="U219" s="496">
        <f t="shared" si="31"/>
        <v>1</v>
      </c>
      <c r="V219" s="496">
        <f t="shared" si="32"/>
        <v>1</v>
      </c>
    </row>
    <row r="220" spans="2:23" ht="12.75">
      <c r="B220" s="955"/>
      <c r="C220" s="515"/>
      <c r="D220" s="514" t="s">
        <v>376</v>
      </c>
      <c r="E220" s="512" t="s">
        <v>341</v>
      </c>
      <c r="F220" s="512">
        <f>+ROUND('Resolución 138-2019-OS_CD'!F206*Factores!$B$20,2)</f>
        <v>262.61</v>
      </c>
      <c r="G220" s="512">
        <f>+ROUND('Resolución 138-2019-OS_CD'!G206*Factores!$B$20,2)</f>
        <v>262.61</v>
      </c>
      <c r="H220" s="512">
        <f>+ROUND('Resolución 138-2019-OS_CD'!H206*Factores!$B$20,2)</f>
        <v>272.57</v>
      </c>
      <c r="I220" s="398">
        <f>+ROUND('Resolución 138-2019-OS_CD'!I206*Factores!$B$20,2)</f>
        <v>289.17</v>
      </c>
      <c r="J220" s="398">
        <f>+ROUND('Resolución 138-2019-OS_CD'!J206*Factores!$B$20,2)</f>
        <v>299.04</v>
      </c>
      <c r="K220" s="883" t="s">
        <v>430</v>
      </c>
      <c r="L220" s="496">
        <v>186.33</v>
      </c>
      <c r="M220" s="496">
        <v>186.33</v>
      </c>
      <c r="N220" s="496">
        <v>192.61</v>
      </c>
      <c r="O220" s="496">
        <v>196.05</v>
      </c>
      <c r="P220" s="496">
        <v>202.09</v>
      </c>
      <c r="R220" s="496">
        <f t="shared" si="28"/>
        <v>1</v>
      </c>
      <c r="S220" s="496">
        <f t="shared" si="29"/>
        <v>1</v>
      </c>
      <c r="T220" s="496">
        <f t="shared" si="30"/>
        <v>1</v>
      </c>
      <c r="U220" s="496">
        <f t="shared" si="31"/>
        <v>1</v>
      </c>
      <c r="V220" s="496">
        <f t="shared" si="32"/>
        <v>1</v>
      </c>
      <c r="W220" s="525">
        <f>+SUM(R213:V220)</f>
        <v>40</v>
      </c>
    </row>
    <row r="221" spans="2:23" ht="12.75">
      <c r="B221" s="862"/>
      <c r="C221" s="863"/>
      <c r="D221" s="471"/>
      <c r="E221" s="807"/>
      <c r="F221" s="807"/>
      <c r="G221" s="807"/>
      <c r="H221" s="807"/>
      <c r="I221" s="879"/>
      <c r="J221" s="879"/>
      <c r="K221" s="496">
        <f>+SUM(F213:J220)</f>
        <v>6806.919999999998</v>
      </c>
      <c r="L221" s="496"/>
      <c r="M221" s="496"/>
      <c r="N221" s="496"/>
      <c r="O221" s="496"/>
      <c r="P221" s="496"/>
      <c r="R221" s="496"/>
      <c r="S221" s="496"/>
      <c r="T221" s="496"/>
      <c r="U221" s="496"/>
      <c r="V221" s="496"/>
      <c r="W221" s="525"/>
    </row>
    <row r="222" spans="2:23" ht="12.75">
      <c r="B222" s="862"/>
      <c r="C222" s="863"/>
      <c r="D222" s="471"/>
      <c r="E222" s="807"/>
      <c r="F222" s="807"/>
      <c r="G222" s="807"/>
      <c r="H222" s="807"/>
      <c r="I222" s="807"/>
      <c r="J222" s="807"/>
      <c r="L222" s="496"/>
      <c r="M222" s="496"/>
      <c r="N222" s="496"/>
      <c r="O222" s="496"/>
      <c r="P222" s="496"/>
      <c r="R222" s="496"/>
      <c r="S222" s="496"/>
      <c r="T222" s="496"/>
      <c r="U222" s="496"/>
      <c r="V222" s="496"/>
      <c r="W222" s="525"/>
    </row>
    <row r="223" spans="2:23" ht="12.75">
      <c r="B223" s="862"/>
      <c r="C223" s="863"/>
      <c r="D223" s="471"/>
      <c r="E223" s="807"/>
      <c r="F223" s="807"/>
      <c r="G223" s="807"/>
      <c r="H223" s="807"/>
      <c r="I223" s="807"/>
      <c r="J223" s="807"/>
      <c r="L223" s="496"/>
      <c r="M223" s="496"/>
      <c r="N223" s="496"/>
      <c r="O223" s="496"/>
      <c r="P223" s="496"/>
      <c r="R223" s="496"/>
      <c r="S223" s="496"/>
      <c r="T223" s="496"/>
      <c r="U223" s="496"/>
      <c r="V223" s="496"/>
      <c r="W223" s="525"/>
    </row>
    <row r="225" spans="2:7" ht="18.75">
      <c r="B225" s="534" t="s">
        <v>377</v>
      </c>
      <c r="C225" s="518"/>
      <c r="D225" s="518"/>
      <c r="E225" s="518"/>
      <c r="F225" s="518"/>
      <c r="G225" s="518"/>
    </row>
    <row r="227" spans="2:7" ht="12.75">
      <c r="B227" s="519" t="s">
        <v>378</v>
      </c>
      <c r="C227" s="520"/>
      <c r="D227" s="520"/>
      <c r="E227" s="520"/>
      <c r="F227" s="520"/>
      <c r="G227" s="520"/>
    </row>
    <row r="228" spans="2:7" ht="12.75">
      <c r="B228" s="520"/>
      <c r="C228" s="520"/>
      <c r="D228" s="520"/>
      <c r="E228" s="520"/>
      <c r="F228" s="520"/>
      <c r="G228" s="520"/>
    </row>
    <row r="229" spans="2:7" ht="12.75">
      <c r="B229" s="619"/>
      <c r="C229" s="947" t="s">
        <v>349</v>
      </c>
      <c r="D229" s="620" t="s">
        <v>331</v>
      </c>
      <c r="E229" s="947" t="s">
        <v>336</v>
      </c>
      <c r="F229" s="620" t="s">
        <v>331</v>
      </c>
      <c r="G229" s="628" t="s">
        <v>332</v>
      </c>
    </row>
    <row r="230" spans="2:7" ht="12.75">
      <c r="B230" s="621" t="s">
        <v>319</v>
      </c>
      <c r="C230" s="948"/>
      <c r="D230" s="622" t="s">
        <v>335</v>
      </c>
      <c r="E230" s="948"/>
      <c r="F230" s="622" t="s">
        <v>337</v>
      </c>
      <c r="G230" s="621" t="s">
        <v>338</v>
      </c>
    </row>
    <row r="231" spans="2:7" ht="12.75">
      <c r="B231" s="623"/>
      <c r="C231" s="949"/>
      <c r="D231" s="624"/>
      <c r="E231" s="949"/>
      <c r="F231" s="624" t="s">
        <v>338</v>
      </c>
      <c r="G231" s="623"/>
    </row>
    <row r="232" spans="2:22" ht="12.75">
      <c r="B232" s="527" t="s">
        <v>321</v>
      </c>
      <c r="C232" s="840">
        <f>'Resolución 138-2019-OS_CD'!C217*Factores!$B$20</f>
        <v>1.1050355</v>
      </c>
      <c r="D232" s="840">
        <f>'Resolución 138-2019-OS_CD'!D217*Factores!$B$20</f>
        <v>1.10241575</v>
      </c>
      <c r="E232" s="840">
        <f>'Resolución 138-2019-OS_CD'!E217*Factores!$B$20</f>
        <v>1.17302425</v>
      </c>
      <c r="F232" s="840">
        <f>'Resolución 138-2019-OS_CD'!F217*Factores!$B$20</f>
        <v>1.09343375</v>
      </c>
      <c r="G232" s="840">
        <f>'Resolución 138-2019-OS_CD'!G217*Factores!$B$20</f>
        <v>1.15930175</v>
      </c>
      <c r="L232" s="526">
        <v>0.8864</v>
      </c>
      <c r="M232" s="526">
        <v>0.8776</v>
      </c>
      <c r="N232" s="526">
        <v>0.9609</v>
      </c>
      <c r="O232" s="526">
        <v>0.8785</v>
      </c>
      <c r="P232" s="526">
        <v>0.9253</v>
      </c>
      <c r="R232" s="526">
        <f aca="true" t="shared" si="33" ref="R232:V236">+IF(L232=C232,0,1)</f>
        <v>1</v>
      </c>
      <c r="S232" s="526">
        <f t="shared" si="33"/>
        <v>1</v>
      </c>
      <c r="T232" s="526">
        <f t="shared" si="33"/>
        <v>1</v>
      </c>
      <c r="U232" s="526">
        <f t="shared" si="33"/>
        <v>1</v>
      </c>
      <c r="V232" s="526">
        <f t="shared" si="33"/>
        <v>1</v>
      </c>
    </row>
    <row r="233" spans="2:22" ht="12.75">
      <c r="B233" s="528" t="s">
        <v>322</v>
      </c>
      <c r="C233" s="840">
        <f>'Resolución 138-2019-OS_CD'!C218*Factores!$B$20</f>
        <v>1.130235</v>
      </c>
      <c r="D233" s="840">
        <f>'Resolución 138-2019-OS_CD'!D218*Factores!$B$20</f>
        <v>1.1291122500000002</v>
      </c>
      <c r="E233" s="840">
        <f>'Resolución 138-2019-OS_CD'!E218*Factores!$B$20</f>
        <v>1.18425175</v>
      </c>
      <c r="F233" s="840">
        <f>'Resolución 138-2019-OS_CD'!F218*Factores!$B$20</f>
        <v>1.11015025</v>
      </c>
      <c r="G233" s="840">
        <f>'Resolución 138-2019-OS_CD'!G218*Factores!$B$20</f>
        <v>1.1748955</v>
      </c>
      <c r="L233" s="526">
        <v>0.8984</v>
      </c>
      <c r="M233" s="526">
        <v>0.8953</v>
      </c>
      <c r="N233" s="526">
        <v>0.9406</v>
      </c>
      <c r="O233" s="526">
        <v>0.8858</v>
      </c>
      <c r="P233" s="526">
        <v>0.9318</v>
      </c>
      <c r="R233" s="526">
        <f t="shared" si="33"/>
        <v>1</v>
      </c>
      <c r="S233" s="526">
        <f t="shared" si="33"/>
        <v>1</v>
      </c>
      <c r="T233" s="526">
        <f t="shared" si="33"/>
        <v>1</v>
      </c>
      <c r="U233" s="526">
        <f t="shared" si="33"/>
        <v>1</v>
      </c>
      <c r="V233" s="526">
        <f t="shared" si="33"/>
        <v>1</v>
      </c>
    </row>
    <row r="234" spans="2:22" ht="12.75">
      <c r="B234" s="528" t="s">
        <v>324</v>
      </c>
      <c r="C234" s="840">
        <f>'Resolución 138-2019-OS_CD'!C219*Factores!$B$20</f>
        <v>1.1173857500000002</v>
      </c>
      <c r="D234" s="840">
        <f>'Resolución 138-2019-OS_CD'!D219*Factores!$B$20</f>
        <v>1.1254945</v>
      </c>
      <c r="E234" s="840">
        <f>'Resolución 138-2019-OS_CD'!E219*Factores!$B$20</f>
        <v>1.1823805</v>
      </c>
      <c r="F234" s="840">
        <f>'Resolución 138-2019-OS_CD'!F219*Factores!$B$20</f>
        <v>1.10540975</v>
      </c>
      <c r="G234" s="840">
        <f>'Resolución 138-2019-OS_CD'!G219*Factores!$B$20</f>
        <v>1.17152725</v>
      </c>
      <c r="L234" s="526">
        <v>0.8865</v>
      </c>
      <c r="M234" s="526">
        <v>0.8859</v>
      </c>
      <c r="N234" s="526">
        <v>0.9363</v>
      </c>
      <c r="O234" s="526">
        <v>0.8764</v>
      </c>
      <c r="P234" s="526">
        <v>0.9276</v>
      </c>
      <c r="R234" s="526">
        <f t="shared" si="33"/>
        <v>1</v>
      </c>
      <c r="S234" s="526">
        <f t="shared" si="33"/>
        <v>1</v>
      </c>
      <c r="T234" s="526">
        <f t="shared" si="33"/>
        <v>1</v>
      </c>
      <c r="U234" s="526">
        <f t="shared" si="33"/>
        <v>1</v>
      </c>
      <c r="V234" s="526">
        <f t="shared" si="33"/>
        <v>1</v>
      </c>
    </row>
    <row r="235" spans="2:22" ht="12.75">
      <c r="B235" s="529" t="s">
        <v>326</v>
      </c>
      <c r="C235" s="840">
        <f>'Resolución 138-2019-OS_CD'!C220*Factores!$B$20</f>
        <v>0.991513</v>
      </c>
      <c r="D235" s="840">
        <f>'Resolución 138-2019-OS_CD'!D220*Factores!$B$20</f>
        <v>0.9584542500000001</v>
      </c>
      <c r="E235" s="840">
        <f>'Resolución 138-2019-OS_CD'!E220*Factores!$B$20</f>
        <v>1.0974257500000002</v>
      </c>
      <c r="F235" s="840">
        <f>'Resolución 138-2019-OS_CD'!F220*Factores!$B$20</f>
        <v>0.9217777500000001</v>
      </c>
      <c r="G235" s="840">
        <f>'Resolución 138-2019-OS_CD'!G220*Factores!$B$20</f>
        <v>1.074347</v>
      </c>
      <c r="L235" s="526">
        <v>0.7442</v>
      </c>
      <c r="M235" s="526">
        <v>0.711</v>
      </c>
      <c r="N235" s="526">
        <v>0.8424</v>
      </c>
      <c r="O235" s="526">
        <v>0.6814</v>
      </c>
      <c r="P235" s="526">
        <v>0.8219</v>
      </c>
      <c r="R235" s="526">
        <f t="shared" si="33"/>
        <v>1</v>
      </c>
      <c r="S235" s="526">
        <f t="shared" si="33"/>
        <v>1</v>
      </c>
      <c r="T235" s="526">
        <f t="shared" si="33"/>
        <v>1</v>
      </c>
      <c r="U235" s="526">
        <f t="shared" si="33"/>
        <v>1</v>
      </c>
      <c r="V235" s="526">
        <f t="shared" si="33"/>
        <v>1</v>
      </c>
    </row>
    <row r="236" spans="2:23" ht="12.75">
      <c r="B236" s="529" t="s">
        <v>351</v>
      </c>
      <c r="C236" s="840">
        <f>'Resolución 138-2019-OS_CD'!C221*Factores!$B$20</f>
        <v>1.0451555000000001</v>
      </c>
      <c r="D236" s="840">
        <f>'Resolución 138-2019-OS_CD'!D221*Factores!$B$20</f>
        <v>1.04253575</v>
      </c>
      <c r="E236" s="840">
        <f>'Resolución 138-2019-OS_CD'!E221*Factores!$B$20</f>
        <v>1.06449175</v>
      </c>
      <c r="F236" s="840">
        <f>'Resolución 138-2019-OS_CD'!F221*Factores!$B$20</f>
        <v>1.02033025</v>
      </c>
      <c r="G236" s="840">
        <f>'Resolución 138-2019-OS_CD'!G221*Factores!$B$20</f>
        <v>1.0391675</v>
      </c>
      <c r="H236" s="883"/>
      <c r="K236" s="883" t="s">
        <v>430</v>
      </c>
      <c r="L236" s="526">
        <v>0.8514</v>
      </c>
      <c r="M236" s="526">
        <v>0.8434</v>
      </c>
      <c r="N236" s="526">
        <v>0.8597</v>
      </c>
      <c r="O236" s="526">
        <v>0.8311</v>
      </c>
      <c r="P236" s="526">
        <v>0.8408</v>
      </c>
      <c r="R236" s="526">
        <f t="shared" si="33"/>
        <v>1</v>
      </c>
      <c r="S236" s="526">
        <f t="shared" si="33"/>
        <v>1</v>
      </c>
      <c r="T236" s="526">
        <f t="shared" si="33"/>
        <v>1</v>
      </c>
      <c r="U236" s="526">
        <f t="shared" si="33"/>
        <v>1</v>
      </c>
      <c r="V236" s="526">
        <f t="shared" si="33"/>
        <v>1</v>
      </c>
      <c r="W236" s="525">
        <f>+SUM(R232:V236)</f>
        <v>25</v>
      </c>
    </row>
    <row r="237" spans="2:23" ht="12.75">
      <c r="B237" s="809"/>
      <c r="C237" s="852"/>
      <c r="D237" s="852"/>
      <c r="E237" s="852"/>
      <c r="F237" s="852"/>
      <c r="G237" s="852"/>
      <c r="K237" s="526">
        <f>+SUM(C232:G236)</f>
        <v>27.319252</v>
      </c>
      <c r="L237" s="526"/>
      <c r="M237" s="526"/>
      <c r="N237" s="526"/>
      <c r="O237" s="526"/>
      <c r="P237" s="526"/>
      <c r="R237" s="526"/>
      <c r="S237" s="526"/>
      <c r="T237" s="526"/>
      <c r="U237" s="526"/>
      <c r="V237" s="526"/>
      <c r="W237" s="525"/>
    </row>
    <row r="238" spans="2:22" ht="12.75">
      <c r="B238" s="520"/>
      <c r="C238" s="520"/>
      <c r="D238" s="520"/>
      <c r="E238" s="520"/>
      <c r="F238" s="520"/>
      <c r="G238" s="520"/>
      <c r="L238" s="526"/>
      <c r="M238" s="526"/>
      <c r="N238" s="526"/>
      <c r="O238" s="526"/>
      <c r="P238" s="526"/>
      <c r="R238" s="526"/>
      <c r="S238" s="526"/>
      <c r="T238" s="526"/>
      <c r="U238" s="526"/>
      <c r="V238" s="526"/>
    </row>
    <row r="239" spans="2:22" ht="12.75">
      <c r="B239" s="519" t="s">
        <v>379</v>
      </c>
      <c r="C239" s="520"/>
      <c r="D239" s="520"/>
      <c r="E239" s="520"/>
      <c r="F239" s="520"/>
      <c r="G239" s="520"/>
      <c r="L239" s="526"/>
      <c r="M239" s="526"/>
      <c r="N239" s="526"/>
      <c r="O239" s="526"/>
      <c r="P239" s="526"/>
      <c r="R239" s="526"/>
      <c r="S239" s="526"/>
      <c r="T239" s="526"/>
      <c r="U239" s="526"/>
      <c r="V239" s="526"/>
    </row>
    <row r="240" spans="2:22" ht="12.75">
      <c r="B240" s="520"/>
      <c r="C240" s="520"/>
      <c r="D240" s="520"/>
      <c r="E240" s="520"/>
      <c r="F240" s="520"/>
      <c r="G240" s="520"/>
      <c r="L240" s="526"/>
      <c r="M240" s="526"/>
      <c r="N240" s="526"/>
      <c r="O240" s="526"/>
      <c r="P240" s="526"/>
      <c r="R240" s="526"/>
      <c r="S240" s="526"/>
      <c r="T240" s="526"/>
      <c r="U240" s="526"/>
      <c r="V240" s="526"/>
    </row>
    <row r="241" spans="2:22" ht="12.75">
      <c r="B241" s="625"/>
      <c r="C241" s="947" t="s">
        <v>349</v>
      </c>
      <c r="D241" s="626" t="s">
        <v>331</v>
      </c>
      <c r="E241" s="947" t="s">
        <v>336</v>
      </c>
      <c r="F241" s="626" t="s">
        <v>331</v>
      </c>
      <c r="G241" s="627" t="s">
        <v>332</v>
      </c>
      <c r="L241" s="526"/>
      <c r="M241" s="526"/>
      <c r="N241" s="526"/>
      <c r="O241" s="526"/>
      <c r="P241" s="526"/>
      <c r="R241" s="526"/>
      <c r="S241" s="526"/>
      <c r="T241" s="526"/>
      <c r="U241" s="526"/>
      <c r="V241" s="526"/>
    </row>
    <row r="242" spans="2:22" ht="12.75">
      <c r="B242" s="621" t="s">
        <v>319</v>
      </c>
      <c r="C242" s="948"/>
      <c r="D242" s="622" t="s">
        <v>335</v>
      </c>
      <c r="E242" s="948"/>
      <c r="F242" s="622" t="s">
        <v>337</v>
      </c>
      <c r="G242" s="621" t="s">
        <v>338</v>
      </c>
      <c r="L242" s="526"/>
      <c r="M242" s="526"/>
      <c r="N242" s="526"/>
      <c r="O242" s="526"/>
      <c r="P242" s="526"/>
      <c r="R242" s="526"/>
      <c r="S242" s="526"/>
      <c r="T242" s="526"/>
      <c r="U242" s="526"/>
      <c r="V242" s="526"/>
    </row>
    <row r="243" spans="2:22" ht="12.75">
      <c r="B243" s="623"/>
      <c r="C243" s="949"/>
      <c r="D243" s="624"/>
      <c r="E243" s="949"/>
      <c r="F243" s="624" t="s">
        <v>338</v>
      </c>
      <c r="G243" s="623"/>
      <c r="L243" s="526"/>
      <c r="M243" s="526"/>
      <c r="N243" s="526"/>
      <c r="O243" s="526"/>
      <c r="P243" s="526"/>
      <c r="R243" s="526"/>
      <c r="S243" s="526"/>
      <c r="T243" s="526"/>
      <c r="U243" s="526"/>
      <c r="V243" s="526"/>
    </row>
    <row r="244" spans="2:22" ht="12.75">
      <c r="B244" s="530" t="s">
        <v>321</v>
      </c>
      <c r="C244" s="841">
        <f>'Resolución 138-2019-OS_CD'!C228*Factores!$B$20</f>
        <v>1.1176352500000002</v>
      </c>
      <c r="D244" s="841">
        <f>'Resolución 138-2019-OS_CD'!D228*Factores!$B$20</f>
        <v>1.120255</v>
      </c>
      <c r="E244" s="841">
        <f>'Resolución 138-2019-OS_CD'!E228*Factores!$B$20</f>
        <v>1.1788875</v>
      </c>
      <c r="F244" s="841">
        <f>'Resolución 138-2019-OS_CD'!F228*Factores!$B$20</f>
        <v>1.108778</v>
      </c>
      <c r="G244" s="841">
        <f>'Resolución 138-2019-OS_CD'!G228*Factores!$B$20</f>
        <v>1.1692817500000001</v>
      </c>
      <c r="L244" s="526">
        <v>0.9023</v>
      </c>
      <c r="M244" s="526">
        <v>0.8971</v>
      </c>
      <c r="N244" s="526">
        <v>0.9413</v>
      </c>
      <c r="O244" s="526">
        <v>0.8898</v>
      </c>
      <c r="P244" s="526">
        <v>0.9325</v>
      </c>
      <c r="R244" s="526">
        <f aca="true" t="shared" si="34" ref="R244:V248">+IF(L244=C244,0,1)</f>
        <v>1</v>
      </c>
      <c r="S244" s="526">
        <f t="shared" si="34"/>
        <v>1</v>
      </c>
      <c r="T244" s="526">
        <f t="shared" si="34"/>
        <v>1</v>
      </c>
      <c r="U244" s="526">
        <f t="shared" si="34"/>
        <v>1</v>
      </c>
      <c r="V244" s="526">
        <f t="shared" si="34"/>
        <v>1</v>
      </c>
    </row>
    <row r="245" spans="2:22" ht="12.75">
      <c r="B245" s="531" t="s">
        <v>322</v>
      </c>
      <c r="C245" s="841">
        <f>'Resolución 138-2019-OS_CD'!C229*Factores!$B$20</f>
        <v>1.1349755000000001</v>
      </c>
      <c r="D245" s="841">
        <f>'Resolución 138-2019-OS_CD'!D229*Factores!$B$20</f>
        <v>1.1326052500000001</v>
      </c>
      <c r="E245" s="841">
        <f>'Resolución 138-2019-OS_CD'!E229*Factores!$B$20</f>
        <v>1.1857487500000001</v>
      </c>
      <c r="F245" s="841">
        <f>'Resolución 138-2019-OS_CD'!F229*Factores!$B$20</f>
        <v>1.11863325</v>
      </c>
      <c r="G245" s="841">
        <f>'Resolución 138-2019-OS_CD'!G229*Factores!$B$20</f>
        <v>1.1738975</v>
      </c>
      <c r="L245" s="526">
        <v>0.9173</v>
      </c>
      <c r="M245" s="526">
        <v>0.9209</v>
      </c>
      <c r="N245" s="526">
        <v>0.9513</v>
      </c>
      <c r="O245" s="526">
        <v>0.9119</v>
      </c>
      <c r="P245" s="526">
        <v>0.9444</v>
      </c>
      <c r="R245" s="526">
        <f t="shared" si="34"/>
        <v>1</v>
      </c>
      <c r="S245" s="526">
        <f t="shared" si="34"/>
        <v>1</v>
      </c>
      <c r="T245" s="526">
        <f t="shared" si="34"/>
        <v>1</v>
      </c>
      <c r="U245" s="526">
        <f t="shared" si="34"/>
        <v>1</v>
      </c>
      <c r="V245" s="526">
        <f t="shared" si="34"/>
        <v>1</v>
      </c>
    </row>
    <row r="246" spans="2:22" ht="12.75">
      <c r="B246" s="531" t="s">
        <v>324</v>
      </c>
      <c r="C246" s="841">
        <f>'Resolución 138-2019-OS_CD'!C230*Factores!$B$20</f>
        <v>1.1210035</v>
      </c>
      <c r="D246" s="841">
        <f>'Resolución 138-2019-OS_CD'!D230*Factores!$B$20</f>
        <v>1.1227500000000001</v>
      </c>
      <c r="E246" s="841">
        <f>'Resolución 138-2019-OS_CD'!E230*Factores!$B$20</f>
        <v>1.17851325</v>
      </c>
      <c r="F246" s="841">
        <f>'Resolución 138-2019-OS_CD'!F230*Factores!$B$20</f>
        <v>1.108279</v>
      </c>
      <c r="G246" s="841">
        <f>'Resolución 138-2019-OS_CD'!G230*Factores!$B$20</f>
        <v>1.170155</v>
      </c>
      <c r="L246" s="526">
        <v>0.9083</v>
      </c>
      <c r="M246" s="526">
        <v>0.9103</v>
      </c>
      <c r="N246" s="526">
        <v>0.9468</v>
      </c>
      <c r="O246" s="526">
        <v>0.8984</v>
      </c>
      <c r="P246" s="526">
        <v>0.9379</v>
      </c>
      <c r="R246" s="526">
        <f t="shared" si="34"/>
        <v>1</v>
      </c>
      <c r="S246" s="526">
        <f t="shared" si="34"/>
        <v>1</v>
      </c>
      <c r="T246" s="526">
        <f t="shared" si="34"/>
        <v>1</v>
      </c>
      <c r="U246" s="526">
        <f t="shared" si="34"/>
        <v>1</v>
      </c>
      <c r="V246" s="526">
        <f t="shared" si="34"/>
        <v>1</v>
      </c>
    </row>
    <row r="247" spans="2:22" ht="12.75">
      <c r="B247" s="529" t="s">
        <v>326</v>
      </c>
      <c r="C247" s="841">
        <f>'Resolución 138-2019-OS_CD'!C231*Factores!$B$20</f>
        <v>0.9754202500000001</v>
      </c>
      <c r="D247" s="841">
        <f>'Resolución 138-2019-OS_CD'!D231*Factores!$B$20</f>
        <v>0.94597925</v>
      </c>
      <c r="E247" s="841">
        <f>'Resolución 138-2019-OS_CD'!E231*Factores!$B$20</f>
        <v>1.0631195</v>
      </c>
      <c r="F247" s="841">
        <f>'Resolución 138-2019-OS_CD'!F231*Factores!$B$20</f>
        <v>0.9094275</v>
      </c>
      <c r="G247" s="841">
        <f>'Resolución 138-2019-OS_CD'!G231*Factores!$B$20</f>
        <v>1.03829425</v>
      </c>
      <c r="L247" s="526">
        <v>0.7295</v>
      </c>
      <c r="M247" s="526">
        <v>0.7013</v>
      </c>
      <c r="N247" s="526">
        <v>0.8098</v>
      </c>
      <c r="O247" s="526">
        <v>0.6711</v>
      </c>
      <c r="P247" s="526">
        <v>0.787</v>
      </c>
      <c r="R247" s="526">
        <f t="shared" si="34"/>
        <v>1</v>
      </c>
      <c r="S247" s="526">
        <f t="shared" si="34"/>
        <v>1</v>
      </c>
      <c r="T247" s="526">
        <f t="shared" si="34"/>
        <v>1</v>
      </c>
      <c r="U247" s="526">
        <f t="shared" si="34"/>
        <v>1</v>
      </c>
      <c r="V247" s="526">
        <f t="shared" si="34"/>
        <v>1</v>
      </c>
    </row>
    <row r="248" spans="2:23" ht="12.75">
      <c r="B248" s="529" t="s">
        <v>351</v>
      </c>
      <c r="C248" s="841">
        <f>'Resolución 138-2019-OS_CD'!C232*Factores!$B$20</f>
        <v>1.0152155</v>
      </c>
      <c r="D248" s="841">
        <f>'Resolución 138-2019-OS_CD'!D232*Factores!$B$20</f>
        <v>1.00985125</v>
      </c>
      <c r="E248" s="841">
        <f>'Resolución 138-2019-OS_CD'!E232*Factores!$B$20</f>
        <v>1.0387932500000001</v>
      </c>
      <c r="F248" s="841">
        <f>'Resolución 138-2019-OS_CD'!F232*Factores!$B$20</f>
        <v>0.9880200000000001</v>
      </c>
      <c r="G248" s="841">
        <f>'Resolución 138-2019-OS_CD'!G232*Factores!$B$20</f>
        <v>1.00935225</v>
      </c>
      <c r="H248" s="883"/>
      <c r="K248" s="883" t="s">
        <v>430</v>
      </c>
      <c r="L248" s="526">
        <v>0.82</v>
      </c>
      <c r="M248" s="526">
        <v>0.8102</v>
      </c>
      <c r="N248" s="526">
        <v>0.8298</v>
      </c>
      <c r="O248" s="526">
        <v>0.796</v>
      </c>
      <c r="P248" s="526">
        <v>0.8071</v>
      </c>
      <c r="R248" s="526">
        <f t="shared" si="34"/>
        <v>1</v>
      </c>
      <c r="S248" s="526">
        <f t="shared" si="34"/>
        <v>1</v>
      </c>
      <c r="T248" s="526">
        <f t="shared" si="34"/>
        <v>1</v>
      </c>
      <c r="U248" s="526">
        <f t="shared" si="34"/>
        <v>1</v>
      </c>
      <c r="V248" s="526">
        <f t="shared" si="34"/>
        <v>1</v>
      </c>
      <c r="W248" s="525">
        <f>+SUM(R244:V248)</f>
        <v>25</v>
      </c>
    </row>
    <row r="249" spans="2:23" ht="12.75">
      <c r="B249" s="809"/>
      <c r="C249" s="810"/>
      <c r="D249" s="810"/>
      <c r="E249" s="810"/>
      <c r="F249" s="810"/>
      <c r="G249" s="810"/>
      <c r="K249" s="526">
        <f>+SUM(C244:G248)</f>
        <v>27.1348715</v>
      </c>
      <c r="L249" s="526"/>
      <c r="M249" s="526"/>
      <c r="N249" s="526"/>
      <c r="O249" s="526"/>
      <c r="P249" s="526"/>
      <c r="R249" s="526"/>
      <c r="S249" s="526"/>
      <c r="T249" s="526"/>
      <c r="U249" s="526"/>
      <c r="V249" s="526"/>
      <c r="W249" s="525"/>
    </row>
    <row r="250" spans="2:22" ht="12.75">
      <c r="B250" s="520"/>
      <c r="C250" s="520"/>
      <c r="D250" s="520"/>
      <c r="E250" s="520"/>
      <c r="F250" s="520"/>
      <c r="G250" s="520"/>
      <c r="L250" s="526"/>
      <c r="M250" s="526"/>
      <c r="N250" s="526"/>
      <c r="O250" s="526"/>
      <c r="P250" s="526"/>
      <c r="R250" s="526"/>
      <c r="S250" s="526"/>
      <c r="T250" s="526"/>
      <c r="U250" s="526"/>
      <c r="V250" s="526"/>
    </row>
    <row r="251" spans="2:22" ht="12.75">
      <c r="B251" s="519" t="s">
        <v>380</v>
      </c>
      <c r="C251" s="520"/>
      <c r="D251" s="520"/>
      <c r="E251" s="520"/>
      <c r="F251" s="520"/>
      <c r="G251" s="520"/>
      <c r="L251" s="526"/>
      <c r="M251" s="526"/>
      <c r="N251" s="526"/>
      <c r="O251" s="526"/>
      <c r="P251" s="526"/>
      <c r="R251" s="526"/>
      <c r="S251" s="526"/>
      <c r="T251" s="526"/>
      <c r="U251" s="526"/>
      <c r="V251" s="526"/>
    </row>
    <row r="252" spans="2:22" ht="12.75">
      <c r="B252" s="520"/>
      <c r="C252" s="520"/>
      <c r="D252" s="520"/>
      <c r="E252" s="520"/>
      <c r="F252" s="520"/>
      <c r="G252" s="520"/>
      <c r="L252" s="526"/>
      <c r="M252" s="526"/>
      <c r="N252" s="526"/>
      <c r="O252" s="526"/>
      <c r="P252" s="526"/>
      <c r="R252" s="526"/>
      <c r="S252" s="526"/>
      <c r="T252" s="526"/>
      <c r="U252" s="526"/>
      <c r="V252" s="526"/>
    </row>
    <row r="253" spans="2:22" ht="12.75">
      <c r="B253" s="625"/>
      <c r="C253" s="947" t="s">
        <v>349</v>
      </c>
      <c r="D253" s="626" t="s">
        <v>331</v>
      </c>
      <c r="E253" s="947" t="s">
        <v>336</v>
      </c>
      <c r="F253" s="626" t="s">
        <v>331</v>
      </c>
      <c r="G253" s="627" t="s">
        <v>332</v>
      </c>
      <c r="L253" s="526"/>
      <c r="M253" s="526"/>
      <c r="N253" s="526"/>
      <c r="O253" s="526"/>
      <c r="P253" s="526"/>
      <c r="R253" s="526"/>
      <c r="S253" s="526"/>
      <c r="T253" s="526"/>
      <c r="U253" s="526"/>
      <c r="V253" s="526"/>
    </row>
    <row r="254" spans="2:22" ht="12.75">
      <c r="B254" s="621" t="s">
        <v>319</v>
      </c>
      <c r="C254" s="948"/>
      <c r="D254" s="622" t="s">
        <v>335</v>
      </c>
      <c r="E254" s="948"/>
      <c r="F254" s="622" t="s">
        <v>337</v>
      </c>
      <c r="G254" s="621" t="s">
        <v>338</v>
      </c>
      <c r="L254" s="526"/>
      <c r="M254" s="526"/>
      <c r="N254" s="526"/>
      <c r="O254" s="526"/>
      <c r="P254" s="526"/>
      <c r="R254" s="526"/>
      <c r="S254" s="526"/>
      <c r="T254" s="526"/>
      <c r="U254" s="526"/>
      <c r="V254" s="526"/>
    </row>
    <row r="255" spans="2:22" ht="12.75">
      <c r="B255" s="623"/>
      <c r="C255" s="949"/>
      <c r="D255" s="624"/>
      <c r="E255" s="949"/>
      <c r="F255" s="624" t="s">
        <v>338</v>
      </c>
      <c r="G255" s="623"/>
      <c r="L255" s="526"/>
      <c r="M255" s="526"/>
      <c r="N255" s="526"/>
      <c r="O255" s="526"/>
      <c r="P255" s="526"/>
      <c r="R255" s="526"/>
      <c r="S255" s="526"/>
      <c r="T255" s="526"/>
      <c r="U255" s="526"/>
      <c r="V255" s="526"/>
    </row>
    <row r="256" spans="2:22" ht="12.75">
      <c r="B256" s="532" t="s">
        <v>321</v>
      </c>
      <c r="C256" s="841">
        <f>'Resolución 138-2019-OS_CD'!C239*Factores!$B$20</f>
        <v>1.21593825</v>
      </c>
      <c r="D256" s="841">
        <f>'Resolución 138-2019-OS_CD'!D239*Factores!$B$20</f>
        <v>1.21369275</v>
      </c>
      <c r="E256" s="841">
        <f>'Resolución 138-2019-OS_CD'!E239*Factores!$B$20</f>
        <v>1.2168115000000002</v>
      </c>
      <c r="F256" s="841">
        <f>'Resolución 138-2019-OS_CD'!F239*Factores!$B$20</f>
        <v>1.20870275</v>
      </c>
      <c r="G256" s="841">
        <f>'Resolución 138-2019-OS_CD'!G239*Factores!$B$20</f>
        <v>1.2120710000000001</v>
      </c>
      <c r="L256" s="526">
        <v>0.9751</v>
      </c>
      <c r="M256" s="526">
        <v>0.9737</v>
      </c>
      <c r="N256" s="526">
        <v>0.9749</v>
      </c>
      <c r="O256" s="526">
        <v>0.9691</v>
      </c>
      <c r="P256" s="526">
        <v>0.9714</v>
      </c>
      <c r="R256" s="526">
        <f aca="true" t="shared" si="35" ref="R256:V259">+IF(L256=C256,0,1)</f>
        <v>1</v>
      </c>
      <c r="S256" s="526">
        <f t="shared" si="35"/>
        <v>1</v>
      </c>
      <c r="T256" s="526">
        <f t="shared" si="35"/>
        <v>1</v>
      </c>
      <c r="U256" s="526">
        <f t="shared" si="35"/>
        <v>1</v>
      </c>
      <c r="V256" s="526">
        <f t="shared" si="35"/>
        <v>1</v>
      </c>
    </row>
    <row r="257" spans="2:22" ht="12.75">
      <c r="B257" s="532" t="s">
        <v>322</v>
      </c>
      <c r="C257" s="841">
        <f>'Resolución 138-2019-OS_CD'!C240*Factores!$B$20</f>
        <v>1.2144412500000001</v>
      </c>
      <c r="D257" s="841">
        <f>'Resolución 138-2019-OS_CD'!D240*Factores!$B$20</f>
        <v>1.213568</v>
      </c>
      <c r="E257" s="841">
        <f>'Resolución 138-2019-OS_CD'!E240*Factores!$B$20</f>
        <v>1.21518975</v>
      </c>
      <c r="F257" s="841">
        <f>'Resolución 138-2019-OS_CD'!F240*Factores!$B$20</f>
        <v>1.20770475</v>
      </c>
      <c r="G257" s="841">
        <f>'Resolución 138-2019-OS_CD'!G240*Factores!$B$20</f>
        <v>1.209576</v>
      </c>
      <c r="L257" s="526">
        <v>0.9742</v>
      </c>
      <c r="M257" s="526">
        <v>0.9731</v>
      </c>
      <c r="N257" s="526">
        <v>0.9751</v>
      </c>
      <c r="O257" s="526">
        <v>0.97</v>
      </c>
      <c r="P257" s="526">
        <v>0.9715</v>
      </c>
      <c r="R257" s="526">
        <f t="shared" si="35"/>
        <v>1</v>
      </c>
      <c r="S257" s="526">
        <f t="shared" si="35"/>
        <v>1</v>
      </c>
      <c r="T257" s="526">
        <f t="shared" si="35"/>
        <v>1</v>
      </c>
      <c r="U257" s="526">
        <f t="shared" si="35"/>
        <v>1</v>
      </c>
      <c r="V257" s="526">
        <f t="shared" si="35"/>
        <v>1</v>
      </c>
    </row>
    <row r="258" spans="2:22" ht="12.75">
      <c r="B258" s="532" t="s">
        <v>324</v>
      </c>
      <c r="C258" s="841">
        <f>'Resolución 138-2019-OS_CD'!C241*Factores!$B$20</f>
        <v>1.20758</v>
      </c>
      <c r="D258" s="841">
        <f>'Resolución 138-2019-OS_CD'!D241*Factores!$B$20</f>
        <v>1.20645725</v>
      </c>
      <c r="E258" s="841">
        <f>'Resolución 138-2019-OS_CD'!E241*Factores!$B$20</f>
        <v>1.2104492500000001</v>
      </c>
      <c r="F258" s="841">
        <f>'Resolución 138-2019-OS_CD'!F241*Factores!$B$20</f>
        <v>1.201093</v>
      </c>
      <c r="G258" s="841">
        <f>'Resolución 138-2019-OS_CD'!G241*Factores!$B$20</f>
        <v>1.20496025</v>
      </c>
      <c r="L258" s="526">
        <v>0.972</v>
      </c>
      <c r="M258" s="526">
        <v>0.9695</v>
      </c>
      <c r="N258" s="526">
        <v>0.9718</v>
      </c>
      <c r="O258" s="526">
        <v>0.9664</v>
      </c>
      <c r="P258" s="526">
        <v>0.9681</v>
      </c>
      <c r="R258" s="526">
        <f t="shared" si="35"/>
        <v>1</v>
      </c>
      <c r="S258" s="526">
        <f t="shared" si="35"/>
        <v>1</v>
      </c>
      <c r="T258" s="526">
        <f t="shared" si="35"/>
        <v>1</v>
      </c>
      <c r="U258" s="526">
        <f t="shared" si="35"/>
        <v>1</v>
      </c>
      <c r="V258" s="526">
        <f t="shared" si="35"/>
        <v>1</v>
      </c>
    </row>
    <row r="259" spans="2:23" ht="12.75">
      <c r="B259" s="532" t="s">
        <v>326</v>
      </c>
      <c r="C259" s="841">
        <f>'Resolución 138-2019-OS_CD'!C242*Factores!$B$20</f>
        <v>1.0658640000000001</v>
      </c>
      <c r="D259" s="841">
        <f>'Resolución 138-2019-OS_CD'!D242*Factores!$B$20</f>
        <v>1.05925225</v>
      </c>
      <c r="E259" s="841">
        <f>'Resolución 138-2019-OS_CD'!E242*Factores!$B$20</f>
        <v>1.071353</v>
      </c>
      <c r="F259" s="841">
        <f>'Resolución 138-2019-OS_CD'!F242*Factores!$B$20</f>
        <v>1.0320567500000002</v>
      </c>
      <c r="G259" s="841">
        <f>'Resolución 138-2019-OS_CD'!G242*Factores!$B$20</f>
        <v>1.0459040000000002</v>
      </c>
      <c r="H259" s="883"/>
      <c r="K259" s="883" t="s">
        <v>430</v>
      </c>
      <c r="L259" s="526">
        <v>0.8145</v>
      </c>
      <c r="M259" s="526">
        <v>0.8068</v>
      </c>
      <c r="N259" s="526">
        <v>0.8173</v>
      </c>
      <c r="O259" s="526">
        <v>0.7848</v>
      </c>
      <c r="P259" s="526">
        <v>0.7957</v>
      </c>
      <c r="R259" s="526">
        <f t="shared" si="35"/>
        <v>1</v>
      </c>
      <c r="S259" s="526">
        <f t="shared" si="35"/>
        <v>1</v>
      </c>
      <c r="T259" s="526">
        <f t="shared" si="35"/>
        <v>1</v>
      </c>
      <c r="U259" s="526">
        <f t="shared" si="35"/>
        <v>1</v>
      </c>
      <c r="V259" s="526">
        <f t="shared" si="35"/>
        <v>1</v>
      </c>
      <c r="W259" s="525">
        <f>+SUM(R256:V259)</f>
        <v>20</v>
      </c>
    </row>
    <row r="260" spans="2:23" ht="12.75">
      <c r="B260" s="853"/>
      <c r="C260" s="852"/>
      <c r="D260" s="852"/>
      <c r="E260" s="852"/>
      <c r="F260" s="852"/>
      <c r="G260" s="852"/>
      <c r="K260" s="526">
        <f>+SUM(C256:G259)</f>
        <v>23.432665749999998</v>
      </c>
      <c r="L260" s="526"/>
      <c r="M260" s="526"/>
      <c r="N260" s="526"/>
      <c r="O260" s="526"/>
      <c r="P260" s="526"/>
      <c r="R260" s="526"/>
      <c r="S260" s="526"/>
      <c r="T260" s="526"/>
      <c r="U260" s="526"/>
      <c r="V260" s="526"/>
      <c r="W260" s="525"/>
    </row>
    <row r="261" spans="2:22" ht="12.75">
      <c r="B261" s="520"/>
      <c r="C261" s="520"/>
      <c r="D261" s="520"/>
      <c r="E261" s="520"/>
      <c r="F261" s="520"/>
      <c r="G261" s="520"/>
      <c r="L261" s="526"/>
      <c r="M261" s="526"/>
      <c r="N261" s="526"/>
      <c r="O261" s="526"/>
      <c r="P261" s="526"/>
      <c r="R261" s="526"/>
      <c r="S261" s="526"/>
      <c r="T261" s="526"/>
      <c r="U261" s="526"/>
      <c r="V261" s="526"/>
    </row>
    <row r="262" spans="2:22" ht="12.75">
      <c r="B262" s="519" t="s">
        <v>381</v>
      </c>
      <c r="C262" s="520"/>
      <c r="D262" s="520"/>
      <c r="E262" s="520"/>
      <c r="F262" s="520"/>
      <c r="G262" s="520"/>
      <c r="L262" s="526"/>
      <c r="M262" s="526"/>
      <c r="N262" s="526"/>
      <c r="O262" s="526"/>
      <c r="P262" s="526"/>
      <c r="R262" s="526"/>
      <c r="S262" s="526"/>
      <c r="T262" s="526"/>
      <c r="U262" s="526"/>
      <c r="V262" s="526"/>
    </row>
    <row r="263" spans="2:22" ht="12.75">
      <c r="B263" s="520"/>
      <c r="C263" s="520"/>
      <c r="D263" s="520"/>
      <c r="E263" s="520"/>
      <c r="F263" s="520"/>
      <c r="G263" s="520"/>
      <c r="L263" s="526"/>
      <c r="M263" s="526"/>
      <c r="N263" s="526"/>
      <c r="O263" s="526"/>
      <c r="P263" s="526"/>
      <c r="R263" s="526"/>
      <c r="S263" s="526"/>
      <c r="T263" s="526"/>
      <c r="U263" s="526"/>
      <c r="V263" s="526"/>
    </row>
    <row r="264" spans="2:22" ht="12.75">
      <c r="B264" s="625"/>
      <c r="C264" s="947" t="s">
        <v>349</v>
      </c>
      <c r="D264" s="626" t="s">
        <v>331</v>
      </c>
      <c r="E264" s="947" t="s">
        <v>336</v>
      </c>
      <c r="F264" s="626" t="s">
        <v>331</v>
      </c>
      <c r="G264" s="627" t="s">
        <v>332</v>
      </c>
      <c r="L264" s="526"/>
      <c r="M264" s="526"/>
      <c r="N264" s="526"/>
      <c r="O264" s="526"/>
      <c r="P264" s="526"/>
      <c r="R264" s="526"/>
      <c r="S264" s="526"/>
      <c r="T264" s="526"/>
      <c r="U264" s="526"/>
      <c r="V264" s="526"/>
    </row>
    <row r="265" spans="2:22" ht="12.75">
      <c r="B265" s="621" t="s">
        <v>319</v>
      </c>
      <c r="C265" s="948"/>
      <c r="D265" s="622" t="s">
        <v>335</v>
      </c>
      <c r="E265" s="948"/>
      <c r="F265" s="622" t="s">
        <v>337</v>
      </c>
      <c r="G265" s="621" t="s">
        <v>338</v>
      </c>
      <c r="L265" s="526"/>
      <c r="M265" s="526"/>
      <c r="N265" s="526"/>
      <c r="O265" s="526"/>
      <c r="P265" s="526"/>
      <c r="R265" s="526"/>
      <c r="S265" s="526"/>
      <c r="T265" s="526"/>
      <c r="U265" s="526"/>
      <c r="V265" s="526"/>
    </row>
    <row r="266" spans="2:22" ht="12.75">
      <c r="B266" s="623"/>
      <c r="C266" s="949"/>
      <c r="D266" s="624"/>
      <c r="E266" s="949"/>
      <c r="F266" s="624" t="s">
        <v>338</v>
      </c>
      <c r="G266" s="623"/>
      <c r="L266" s="526"/>
      <c r="M266" s="526"/>
      <c r="N266" s="526"/>
      <c r="O266" s="526"/>
      <c r="P266" s="526"/>
      <c r="R266" s="526"/>
      <c r="S266" s="526"/>
      <c r="T266" s="526"/>
      <c r="U266" s="526"/>
      <c r="V266" s="526"/>
    </row>
    <row r="267" spans="2:22" ht="12.75">
      <c r="B267" s="533" t="s">
        <v>321</v>
      </c>
      <c r="C267" s="842">
        <f>'Resolución 138-2019-OS_CD'!C249*Factores!$B$20</f>
        <v>1.21718575</v>
      </c>
      <c r="D267" s="842">
        <f>'Resolución 138-2019-OS_CD'!D249*Factores!$B$20</f>
        <v>1.21718575</v>
      </c>
      <c r="E267" s="842">
        <f>'Resolución 138-2019-OS_CD'!E249*Factores!$B$20</f>
        <v>1.21993025</v>
      </c>
      <c r="F267" s="842">
        <f>'Resolución 138-2019-OS_CD'!F249*Factores!$B$20</f>
        <v>1.21269475</v>
      </c>
      <c r="G267" s="842">
        <f>'Resolución 138-2019-OS_CD'!G249*Factores!$B$20</f>
        <v>1.2158135</v>
      </c>
      <c r="L267" s="526">
        <v>0.9826</v>
      </c>
      <c r="M267" s="526">
        <v>0.9826</v>
      </c>
      <c r="N267" s="526">
        <v>0.9834</v>
      </c>
      <c r="O267" s="526">
        <v>0.9802</v>
      </c>
      <c r="P267" s="526">
        <v>0.9809</v>
      </c>
      <c r="R267" s="526">
        <f aca="true" t="shared" si="36" ref="R267:V269">+IF(L267=C267,0,1)</f>
        <v>1</v>
      </c>
      <c r="S267" s="526">
        <f t="shared" si="36"/>
        <v>1</v>
      </c>
      <c r="T267" s="526">
        <f t="shared" si="36"/>
        <v>1</v>
      </c>
      <c r="U267" s="526">
        <f t="shared" si="36"/>
        <v>1</v>
      </c>
      <c r="V267" s="526">
        <f t="shared" si="36"/>
        <v>1</v>
      </c>
    </row>
    <row r="268" spans="2:22" ht="12.75">
      <c r="B268" s="532" t="s">
        <v>324</v>
      </c>
      <c r="C268" s="842">
        <f>'Resolución 138-2019-OS_CD'!C250*Factores!$B$20</f>
        <v>1.211572</v>
      </c>
      <c r="D268" s="842">
        <f>'Resolución 138-2019-OS_CD'!D250*Factores!$B$20</f>
        <v>1.211572</v>
      </c>
      <c r="E268" s="842">
        <f>'Resolución 138-2019-OS_CD'!E250*Factores!$B$20</f>
        <v>1.2141917500000001</v>
      </c>
      <c r="F268" s="842">
        <f>'Resolución 138-2019-OS_CD'!F250*Factores!$B$20</f>
        <v>1.206083</v>
      </c>
      <c r="G268" s="842">
        <f>'Resolución 138-2019-OS_CD'!G250*Factores!$B$20</f>
        <v>1.209576</v>
      </c>
      <c r="L268" s="526">
        <v>0.9802</v>
      </c>
      <c r="M268" s="526">
        <v>0.9794</v>
      </c>
      <c r="N268" s="526">
        <v>0.9807</v>
      </c>
      <c r="O268" s="526">
        <v>0.9754</v>
      </c>
      <c r="P268" s="526">
        <v>0.9772</v>
      </c>
      <c r="R268" s="526">
        <f t="shared" si="36"/>
        <v>1</v>
      </c>
      <c r="S268" s="526">
        <f t="shared" si="36"/>
        <v>1</v>
      </c>
      <c r="T268" s="526">
        <f t="shared" si="36"/>
        <v>1</v>
      </c>
      <c r="U268" s="526">
        <f t="shared" si="36"/>
        <v>1</v>
      </c>
      <c r="V268" s="526">
        <f t="shared" si="36"/>
        <v>1</v>
      </c>
    </row>
    <row r="269" spans="2:23" ht="12.75">
      <c r="B269" s="532" t="s">
        <v>326</v>
      </c>
      <c r="C269" s="842">
        <f>'Resolución 138-2019-OS_CD'!C251*Factores!$B$20</f>
        <v>1.1099007500000002</v>
      </c>
      <c r="D269" s="842">
        <f>'Resolución 138-2019-OS_CD'!D251*Factores!$B$20</f>
        <v>1.1020415</v>
      </c>
      <c r="E269" s="842">
        <f>'Resolución 138-2019-OS_CD'!E251*Factores!$B$20</f>
        <v>1.11788475</v>
      </c>
      <c r="F269" s="842">
        <f>'Resolución 138-2019-OS_CD'!F251*Factores!$B$20</f>
        <v>1.080335</v>
      </c>
      <c r="G269" s="842">
        <f>'Resolución 138-2019-OS_CD'!G251*Factores!$B$20</f>
        <v>1.09942175</v>
      </c>
      <c r="H269" s="883"/>
      <c r="K269" s="883" t="s">
        <v>430</v>
      </c>
      <c r="L269" s="526">
        <v>0.8585</v>
      </c>
      <c r="M269" s="526">
        <v>0.8497</v>
      </c>
      <c r="N269" s="526">
        <v>0.8656</v>
      </c>
      <c r="O269" s="526">
        <v>0.8315</v>
      </c>
      <c r="P269" s="526">
        <v>0.8481</v>
      </c>
      <c r="R269" s="526">
        <f t="shared" si="36"/>
        <v>1</v>
      </c>
      <c r="S269" s="526">
        <f t="shared" si="36"/>
        <v>1</v>
      </c>
      <c r="T269" s="526">
        <f t="shared" si="36"/>
        <v>1</v>
      </c>
      <c r="U269" s="526">
        <f t="shared" si="36"/>
        <v>1</v>
      </c>
      <c r="V269" s="526">
        <f t="shared" si="36"/>
        <v>1</v>
      </c>
      <c r="W269" s="525">
        <f>+SUM(R267:V269)</f>
        <v>15</v>
      </c>
    </row>
    <row r="270" spans="2:23" ht="12.75">
      <c r="B270" s="853"/>
      <c r="C270" s="852"/>
      <c r="D270" s="852"/>
      <c r="E270" s="852"/>
      <c r="F270" s="852"/>
      <c r="G270" s="852"/>
      <c r="K270" s="526">
        <f>+SUM(C267:G269)</f>
        <v>17.645388500000003</v>
      </c>
      <c r="L270" s="526"/>
      <c r="M270" s="526"/>
      <c r="N270" s="526"/>
      <c r="O270" s="526"/>
      <c r="P270" s="526"/>
      <c r="R270" s="526"/>
      <c r="S270" s="526"/>
      <c r="T270" s="526"/>
      <c r="U270" s="526"/>
      <c r="V270" s="526"/>
      <c r="W270" s="525"/>
    </row>
    <row r="271" spans="2:22" ht="12.75">
      <c r="B271" s="519" t="s">
        <v>382</v>
      </c>
      <c r="C271" s="520"/>
      <c r="D271" s="520"/>
      <c r="E271" s="520"/>
      <c r="F271" s="520"/>
      <c r="G271" s="520"/>
      <c r="L271" s="526"/>
      <c r="M271" s="526"/>
      <c r="N271" s="526"/>
      <c r="O271" s="526"/>
      <c r="P271" s="526"/>
      <c r="R271" s="526"/>
      <c r="S271" s="526"/>
      <c r="T271" s="526"/>
      <c r="U271" s="526"/>
      <c r="V271" s="526"/>
    </row>
    <row r="272" spans="2:22" ht="12.75">
      <c r="B272" s="520"/>
      <c r="C272" s="520"/>
      <c r="D272" s="520"/>
      <c r="E272" s="520"/>
      <c r="F272" s="520"/>
      <c r="G272" s="520"/>
      <c r="L272" s="526"/>
      <c r="M272" s="526"/>
      <c r="N272" s="526"/>
      <c r="O272" s="526"/>
      <c r="P272" s="526"/>
      <c r="R272" s="526"/>
      <c r="S272" s="526"/>
      <c r="T272" s="526"/>
      <c r="U272" s="526"/>
      <c r="V272" s="526"/>
    </row>
    <row r="273" spans="2:22" ht="12.75">
      <c r="B273" s="625"/>
      <c r="C273" s="947" t="s">
        <v>349</v>
      </c>
      <c r="D273" s="626" t="s">
        <v>331</v>
      </c>
      <c r="E273" s="947" t="s">
        <v>336</v>
      </c>
      <c r="F273" s="626" t="s">
        <v>331</v>
      </c>
      <c r="G273" s="627" t="s">
        <v>332</v>
      </c>
      <c r="L273" s="526"/>
      <c r="M273" s="526"/>
      <c r="N273" s="526"/>
      <c r="O273" s="526"/>
      <c r="P273" s="526"/>
      <c r="R273" s="526"/>
      <c r="S273" s="526"/>
      <c r="T273" s="526"/>
      <c r="U273" s="526"/>
      <c r="V273" s="526"/>
    </row>
    <row r="274" spans="2:22" ht="12.75">
      <c r="B274" s="621" t="s">
        <v>319</v>
      </c>
      <c r="C274" s="948"/>
      <c r="D274" s="622" t="s">
        <v>335</v>
      </c>
      <c r="E274" s="948"/>
      <c r="F274" s="622" t="s">
        <v>337</v>
      </c>
      <c r="G274" s="621" t="s">
        <v>338</v>
      </c>
      <c r="L274" s="526"/>
      <c r="M274" s="526"/>
      <c r="N274" s="526"/>
      <c r="O274" s="526"/>
      <c r="P274" s="526"/>
      <c r="R274" s="526"/>
      <c r="S274" s="526"/>
      <c r="T274" s="526"/>
      <c r="U274" s="526"/>
      <c r="V274" s="526"/>
    </row>
    <row r="275" spans="2:22" ht="12.75">
      <c r="B275" s="623"/>
      <c r="C275" s="949"/>
      <c r="D275" s="624"/>
      <c r="E275" s="949"/>
      <c r="F275" s="624" t="s">
        <v>338</v>
      </c>
      <c r="G275" s="623"/>
      <c r="L275" s="526"/>
      <c r="M275" s="526"/>
      <c r="N275" s="526"/>
      <c r="O275" s="526"/>
      <c r="P275" s="526"/>
      <c r="R275" s="526"/>
      <c r="S275" s="526"/>
      <c r="T275" s="526"/>
      <c r="U275" s="526"/>
      <c r="V275" s="526"/>
    </row>
    <row r="276" spans="2:22" ht="12.75">
      <c r="B276" s="811" t="s">
        <v>383</v>
      </c>
      <c r="C276" s="841">
        <f>'Resolución 138-2019-OS_CD'!C258*Factores!$B$20</f>
        <v>1.24587825</v>
      </c>
      <c r="D276" s="841">
        <f>'Resolución 138-2019-OS_CD'!D258*Factores!$B$20</f>
        <v>1.24537925</v>
      </c>
      <c r="E276" s="841">
        <f>'Resolución 138-2019-OS_CD'!E258*Factores!$B$20</f>
        <v>1.24537925</v>
      </c>
      <c r="F276" s="841">
        <f>'Resolución 138-2019-OS_CD'!F258*Factores!$B$20</f>
        <v>1.24537925</v>
      </c>
      <c r="G276" s="841">
        <f>'Resolución 138-2019-OS_CD'!G258*Factores!$B$20</f>
        <v>1.24587825</v>
      </c>
      <c r="L276" s="526">
        <v>0.9984</v>
      </c>
      <c r="M276" s="526">
        <v>0.9983</v>
      </c>
      <c r="N276" s="526">
        <v>0.9986</v>
      </c>
      <c r="O276" s="526">
        <v>0.9984</v>
      </c>
      <c r="P276" s="526">
        <v>0.9985</v>
      </c>
      <c r="R276" s="526">
        <f aca="true" t="shared" si="37" ref="R276:V277">+IF(L276=C276,0,1)</f>
        <v>1</v>
      </c>
      <c r="S276" s="526">
        <f t="shared" si="37"/>
        <v>1</v>
      </c>
      <c r="T276" s="526">
        <f t="shared" si="37"/>
        <v>1</v>
      </c>
      <c r="U276" s="526">
        <f t="shared" si="37"/>
        <v>1</v>
      </c>
      <c r="V276" s="526">
        <f t="shared" si="37"/>
        <v>1</v>
      </c>
    </row>
    <row r="277" spans="2:23" ht="12.75">
      <c r="B277" s="811" t="s">
        <v>384</v>
      </c>
      <c r="C277" s="841">
        <f>'Resolución 138-2019-OS_CD'!C259*Factores!$B$20</f>
        <v>1.246502</v>
      </c>
      <c r="D277" s="841">
        <f>'Resolución 138-2019-OS_CD'!D259*Factores!$B$20</f>
        <v>1.246502</v>
      </c>
      <c r="E277" s="841">
        <f>'Resolución 138-2019-OS_CD'!E259*Factores!$B$20</f>
        <v>1.2467515</v>
      </c>
      <c r="F277" s="841">
        <f>'Resolución 138-2019-OS_CD'!F259*Factores!$B$20</f>
        <v>1.247001</v>
      </c>
      <c r="G277" s="841">
        <f>'Resolución 138-2019-OS_CD'!G259*Factores!$B$20</f>
        <v>1.246502</v>
      </c>
      <c r="H277" s="883"/>
      <c r="K277" s="883" t="s">
        <v>430</v>
      </c>
      <c r="L277" s="526">
        <v>0.9991</v>
      </c>
      <c r="M277" s="526">
        <v>0.9987</v>
      </c>
      <c r="N277" s="526">
        <v>0.9988</v>
      </c>
      <c r="O277" s="526">
        <v>0.999</v>
      </c>
      <c r="P277" s="526">
        <v>0.999</v>
      </c>
      <c r="R277" s="526">
        <f t="shared" si="37"/>
        <v>1</v>
      </c>
      <c r="S277" s="526">
        <f t="shared" si="37"/>
        <v>1</v>
      </c>
      <c r="T277" s="526">
        <f t="shared" si="37"/>
        <v>1</v>
      </c>
      <c r="U277" s="526">
        <f t="shared" si="37"/>
        <v>1</v>
      </c>
      <c r="V277" s="526">
        <f t="shared" si="37"/>
        <v>1</v>
      </c>
      <c r="W277" s="525">
        <f>+SUM(R276:V277)</f>
        <v>10</v>
      </c>
    </row>
    <row r="278" ht="12.75">
      <c r="K278" s="526">
        <f>+SUM(C276:G277)</f>
        <v>12.46115275</v>
      </c>
    </row>
  </sheetData>
  <sheetProtection/>
  <mergeCells count="22">
    <mergeCell ref="E273:E275"/>
    <mergeCell ref="E264:E266"/>
    <mergeCell ref="E253:E255"/>
    <mergeCell ref="E241:E243"/>
    <mergeCell ref="E229:E231"/>
    <mergeCell ref="E115:H115"/>
    <mergeCell ref="B6:H6"/>
    <mergeCell ref="B81:H81"/>
    <mergeCell ref="E83:H83"/>
    <mergeCell ref="E95:H95"/>
    <mergeCell ref="F69:J69"/>
    <mergeCell ref="E44:G44"/>
    <mergeCell ref="E127:H127"/>
    <mergeCell ref="B165:H165"/>
    <mergeCell ref="B187:H187"/>
    <mergeCell ref="B207:J207"/>
    <mergeCell ref="B213:B220"/>
    <mergeCell ref="C273:C275"/>
    <mergeCell ref="C264:C266"/>
    <mergeCell ref="C253:C255"/>
    <mergeCell ref="C241:C243"/>
    <mergeCell ref="C229:C231"/>
  </mergeCells>
  <printOptions/>
  <pageMargins left="0.7086614173228347" right="0.7086614173228347" top="0.7086614173228347" bottom="0.7086614173228347" header="0.31496062992125984" footer="0.31496062992125984"/>
  <pageSetup fitToHeight="0" fitToWidth="1" horizontalDpi="600" verticalDpi="600" orientation="portrait" paperSize="9" scale="51" r:id="rId1"/>
  <headerFoot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4"/>
  <sheetViews>
    <sheetView zoomScale="90" zoomScaleNormal="90" zoomScalePageLayoutView="40" workbookViewId="0" topLeftCell="D1">
      <selection activeCell="J7" sqref="J7"/>
    </sheetView>
  </sheetViews>
  <sheetFormatPr defaultColWidth="11.421875" defaultRowHeight="12.75"/>
  <cols>
    <col min="1" max="1" width="2.140625" style="629" customWidth="1"/>
    <col min="2" max="2" width="38.00390625" style="629" customWidth="1"/>
    <col min="3" max="3" width="11.00390625" style="629" customWidth="1"/>
    <col min="4" max="4" width="24.140625" style="629" customWidth="1"/>
    <col min="5" max="5" width="44.28125" style="629" customWidth="1"/>
    <col min="6" max="6" width="21.8515625" style="629" customWidth="1"/>
    <col min="7" max="7" width="11.421875" style="629" customWidth="1"/>
    <col min="8" max="8" width="13.28125" style="629" customWidth="1"/>
    <col min="9" max="16384" width="11.421875" style="629" customWidth="1"/>
  </cols>
  <sheetData>
    <row r="2" spans="2:12" ht="21">
      <c r="B2" s="521" t="s">
        <v>404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pans="2:12" ht="18.75">
      <c r="B3" s="522" t="str">
        <f>+'Resolución 137-2019-OS_CD'!B2</f>
        <v>Resolución Osinergmin N° 137-2019-OS/CD modificado por Resolución Osinergmin N° 176-2019 OS/CD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</row>
    <row r="4" spans="2:12" ht="18.75">
      <c r="B4" s="522" t="str">
        <f>+Factores!A2</f>
        <v>Vigente a partir del 04/Nov/2022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</row>
    <row r="5" spans="2:12" ht="18.75">
      <c r="B5" s="522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1:12" ht="15.75">
      <c r="A6" s="631"/>
      <c r="B6" s="632" t="s">
        <v>303</v>
      </c>
      <c r="C6" s="523"/>
      <c r="D6" s="633"/>
      <c r="E6" s="633"/>
      <c r="F6" s="633"/>
      <c r="G6" s="633"/>
      <c r="H6" s="633"/>
      <c r="I6" s="523"/>
      <c r="J6" s="630"/>
      <c r="K6" s="523"/>
      <c r="L6" s="523"/>
    </row>
    <row r="7" spans="1:12" ht="12.75">
      <c r="A7" s="634"/>
      <c r="B7" s="523"/>
      <c r="C7" s="523"/>
      <c r="D7" s="523"/>
      <c r="E7" s="523"/>
      <c r="F7" s="523"/>
      <c r="G7" s="523"/>
      <c r="H7" s="523"/>
      <c r="I7" s="523"/>
      <c r="J7" s="630"/>
      <c r="K7" s="630"/>
      <c r="L7" s="630"/>
    </row>
    <row r="8" spans="1:12" ht="12.75" customHeight="1">
      <c r="A8" s="634"/>
      <c r="B8" s="635" t="s">
        <v>6</v>
      </c>
      <c r="C8" s="636" t="s">
        <v>3</v>
      </c>
      <c r="D8" s="635" t="s">
        <v>4</v>
      </c>
      <c r="E8" s="635" t="s">
        <v>7</v>
      </c>
      <c r="F8" s="635" t="s">
        <v>49</v>
      </c>
      <c r="G8" s="635" t="s">
        <v>1</v>
      </c>
      <c r="H8" s="635" t="s">
        <v>2</v>
      </c>
      <c r="I8" s="633"/>
      <c r="J8" s="630"/>
      <c r="K8" s="630"/>
      <c r="L8" s="630"/>
    </row>
    <row r="9" spans="1:12" ht="12.75" customHeight="1">
      <c r="A9" s="634"/>
      <c r="B9" s="637"/>
      <c r="C9" s="638"/>
      <c r="D9" s="637"/>
      <c r="E9" s="637" t="s">
        <v>86</v>
      </c>
      <c r="F9" s="637" t="s">
        <v>304</v>
      </c>
      <c r="G9" s="639" t="s">
        <v>274</v>
      </c>
      <c r="H9" s="637" t="s">
        <v>275</v>
      </c>
      <c r="I9" s="523"/>
      <c r="J9" s="630"/>
      <c r="K9" s="630"/>
      <c r="L9" s="630"/>
    </row>
    <row r="10" spans="1:24" ht="12.75">
      <c r="A10" s="634"/>
      <c r="B10" s="640" t="s">
        <v>11</v>
      </c>
      <c r="C10" s="523" t="s">
        <v>9</v>
      </c>
      <c r="D10" s="640" t="s">
        <v>10</v>
      </c>
      <c r="E10" s="641" t="s">
        <v>12</v>
      </c>
      <c r="F10" s="642" t="s">
        <v>63</v>
      </c>
      <c r="G10" s="843">
        <f>'Resolución 137-2019-OS_CD'!G9*Factores!$B$7</f>
        <v>1159.3020000000001</v>
      </c>
      <c r="H10" s="843">
        <f>'Resolución 137-2019-OS_CD'!H9*Factores!$B$7</f>
        <v>1299.8982</v>
      </c>
      <c r="I10" s="523"/>
      <c r="J10" s="630"/>
      <c r="K10" s="887"/>
      <c r="L10" s="630"/>
      <c r="T10" s="629">
        <v>805</v>
      </c>
      <c r="U10" s="629">
        <v>910</v>
      </c>
      <c r="W10" s="629">
        <f aca="true" t="shared" si="0" ref="W10:W32">+IF(T10=G10,0,1)</f>
        <v>1</v>
      </c>
      <c r="X10" s="629">
        <f aca="true" t="shared" si="1" ref="X10:X32">+IF(U10=H10,0,1)</f>
        <v>1</v>
      </c>
    </row>
    <row r="11" spans="1:24" ht="12.75">
      <c r="A11" s="634"/>
      <c r="B11" s="643"/>
      <c r="C11" s="644"/>
      <c r="D11" s="643"/>
      <c r="E11" s="645"/>
      <c r="F11" s="642" t="s">
        <v>87</v>
      </c>
      <c r="G11" s="843">
        <f>'Resolución 137-2019-OS_CD'!G10*Factores!$B$7</f>
        <v>336.6909</v>
      </c>
      <c r="H11" s="843">
        <f>'Resolución 137-2019-OS_CD'!H10*Factores!$B$7</f>
        <v>474.82050000000004</v>
      </c>
      <c r="I11" s="523"/>
      <c r="J11" s="630"/>
      <c r="K11" s="887"/>
      <c r="L11" s="630"/>
      <c r="T11" s="629">
        <v>259</v>
      </c>
      <c r="U11" s="629">
        <v>364</v>
      </c>
      <c r="W11" s="629">
        <f t="shared" si="0"/>
        <v>1</v>
      </c>
      <c r="X11" s="629">
        <f t="shared" si="1"/>
        <v>1</v>
      </c>
    </row>
    <row r="12" spans="1:24" ht="12.75">
      <c r="A12" s="634"/>
      <c r="B12" s="646"/>
      <c r="C12" s="523"/>
      <c r="D12" s="646"/>
      <c r="E12" s="646"/>
      <c r="F12" s="642" t="s">
        <v>270</v>
      </c>
      <c r="G12" s="843">
        <f>'Resolución 137-2019-OS_CD'!G11*Factores!$B$7</f>
        <v>387.25620000000004</v>
      </c>
      <c r="H12" s="843"/>
      <c r="I12" s="523"/>
      <c r="J12" s="630"/>
      <c r="K12" s="887"/>
      <c r="L12" s="630"/>
      <c r="T12" s="629">
        <v>314</v>
      </c>
      <c r="W12" s="629">
        <f t="shared" si="0"/>
        <v>1</v>
      </c>
      <c r="X12" s="629">
        <f t="shared" si="1"/>
        <v>0</v>
      </c>
    </row>
    <row r="13" spans="1:24" ht="12.75">
      <c r="A13" s="634"/>
      <c r="B13" s="643"/>
      <c r="C13" s="644"/>
      <c r="D13" s="643"/>
      <c r="E13" s="645"/>
      <c r="F13" s="642" t="s">
        <v>88</v>
      </c>
      <c r="G13" s="843">
        <f>'Resolución 137-2019-OS_CD'!G12*Factores!$B$7</f>
        <v>344.0907</v>
      </c>
      <c r="H13" s="843">
        <f>+ROUND('Resolución 137-2019-OS_CD'!H12*Factores!$B$7,0)</f>
        <v>485</v>
      </c>
      <c r="I13" s="523"/>
      <c r="J13" s="630"/>
      <c r="K13" s="887"/>
      <c r="L13" s="630"/>
      <c r="T13" s="629">
        <v>267</v>
      </c>
      <c r="U13" s="629">
        <v>372</v>
      </c>
      <c r="W13" s="629">
        <f t="shared" si="0"/>
        <v>1</v>
      </c>
      <c r="X13" s="629">
        <f t="shared" si="1"/>
        <v>1</v>
      </c>
    </row>
    <row r="14" spans="1:24" ht="12.75">
      <c r="A14" s="634"/>
      <c r="B14" s="646"/>
      <c r="C14" s="523"/>
      <c r="D14" s="646"/>
      <c r="E14" s="646"/>
      <c r="F14" s="642" t="s">
        <v>271</v>
      </c>
      <c r="G14" s="843">
        <f>'Resolución 137-2019-OS_CD'!G13*Factores!$B$7</f>
        <v>394.656</v>
      </c>
      <c r="H14" s="843"/>
      <c r="I14" s="523"/>
      <c r="J14" s="630"/>
      <c r="K14" s="887"/>
      <c r="L14" s="630"/>
      <c r="T14" s="629">
        <v>322</v>
      </c>
      <c r="W14" s="629">
        <f t="shared" si="0"/>
        <v>1</v>
      </c>
      <c r="X14" s="629">
        <f t="shared" si="1"/>
        <v>0</v>
      </c>
    </row>
    <row r="15" spans="1:24" ht="12.75">
      <c r="A15" s="634"/>
      <c r="B15" s="643"/>
      <c r="C15" s="644"/>
      <c r="D15" s="647"/>
      <c r="E15" s="648"/>
      <c r="F15" s="642" t="s">
        <v>56</v>
      </c>
      <c r="G15" s="843">
        <f>'Resolución 137-2019-OS_CD'!G14*Factores!$B$7</f>
        <v>249.12660000000002</v>
      </c>
      <c r="H15" s="843">
        <f>+ROUND('Resolución 137-2019-OS_CD'!H14*Factores!$B$7,0)</f>
        <v>403</v>
      </c>
      <c r="I15" s="523"/>
      <c r="J15" s="630"/>
      <c r="K15" s="887"/>
      <c r="L15" s="630"/>
      <c r="T15" s="629">
        <v>202</v>
      </c>
      <c r="U15" s="629">
        <v>304</v>
      </c>
      <c r="W15" s="629">
        <f t="shared" si="0"/>
        <v>1</v>
      </c>
      <c r="X15" s="629">
        <f t="shared" si="1"/>
        <v>1</v>
      </c>
    </row>
    <row r="16" spans="1:24" ht="12.75">
      <c r="A16" s="634"/>
      <c r="B16" s="643"/>
      <c r="C16" s="644"/>
      <c r="D16" s="640" t="s">
        <v>14</v>
      </c>
      <c r="E16" s="641" t="s">
        <v>15</v>
      </c>
      <c r="F16" s="642" t="s">
        <v>63</v>
      </c>
      <c r="G16" s="843">
        <f>'Resolución 137-2019-OS_CD'!G15*Factores!$B$7</f>
        <v>1190.1345000000001</v>
      </c>
      <c r="H16" s="843">
        <f>+ROUND('Resolución 137-2019-OS_CD'!H15*Factores!$B$7,0)</f>
        <v>1307</v>
      </c>
      <c r="I16" s="523"/>
      <c r="J16" s="630"/>
      <c r="K16" s="887"/>
      <c r="L16" s="630"/>
      <c r="T16" s="629">
        <v>859</v>
      </c>
      <c r="U16" s="629">
        <v>914</v>
      </c>
      <c r="W16" s="629">
        <f t="shared" si="0"/>
        <v>1</v>
      </c>
      <c r="X16" s="629">
        <f t="shared" si="1"/>
        <v>1</v>
      </c>
    </row>
    <row r="17" spans="1:24" ht="12.75">
      <c r="A17" s="634"/>
      <c r="B17" s="643"/>
      <c r="C17" s="644"/>
      <c r="D17" s="643"/>
      <c r="E17" s="645"/>
      <c r="F17" s="642" t="s">
        <v>87</v>
      </c>
      <c r="G17" s="843">
        <f>'Resolución 137-2019-OS_CD'!G16*Factores!$B$7</f>
        <v>368.7567</v>
      </c>
      <c r="H17" s="843">
        <f>+ROUND('Resolución 137-2019-OS_CD'!H16*Factores!$B$7,0)</f>
        <v>485</v>
      </c>
      <c r="I17" s="523"/>
      <c r="J17" s="630"/>
      <c r="K17" s="887"/>
      <c r="L17" s="630"/>
      <c r="T17" s="629">
        <v>312</v>
      </c>
      <c r="U17" s="629">
        <v>368</v>
      </c>
      <c r="W17" s="629">
        <f t="shared" si="0"/>
        <v>1</v>
      </c>
      <c r="X17" s="629">
        <f t="shared" si="1"/>
        <v>1</v>
      </c>
    </row>
    <row r="18" spans="1:24" ht="12.75">
      <c r="A18" s="634"/>
      <c r="B18" s="643"/>
      <c r="C18" s="644"/>
      <c r="D18" s="643"/>
      <c r="E18" s="645"/>
      <c r="F18" s="642" t="s">
        <v>88</v>
      </c>
      <c r="G18" s="843">
        <f>'Resolución 137-2019-OS_CD'!G17*Factores!$B$7</f>
        <v>374.9232</v>
      </c>
      <c r="H18" s="843">
        <f>+ROUND('Resolución 137-2019-OS_CD'!H17*Factores!$B$7,0)</f>
        <v>492</v>
      </c>
      <c r="I18" s="523"/>
      <c r="J18" s="630"/>
      <c r="K18" s="887"/>
      <c r="L18" s="630"/>
      <c r="T18" s="629">
        <v>321</v>
      </c>
      <c r="U18" s="629">
        <v>376</v>
      </c>
      <c r="W18" s="629">
        <f t="shared" si="0"/>
        <v>1</v>
      </c>
      <c r="X18" s="629">
        <f t="shared" si="1"/>
        <v>1</v>
      </c>
    </row>
    <row r="19" spans="1:24" ht="12.75">
      <c r="A19" s="634"/>
      <c r="B19" s="643"/>
      <c r="C19" s="644"/>
      <c r="D19" s="643"/>
      <c r="E19" s="645"/>
      <c r="F19" s="649" t="s">
        <v>56</v>
      </c>
      <c r="G19" s="843">
        <f>'Resolución 137-2019-OS_CD'!G18*Factores!$B$7</f>
        <v>279.95910000000003</v>
      </c>
      <c r="H19" s="843">
        <f>+ROUND('Resolución 137-2019-OS_CD'!H18*Factores!$B$7,0)</f>
        <v>409</v>
      </c>
      <c r="I19" s="523"/>
      <c r="J19" s="630"/>
      <c r="K19" s="887"/>
      <c r="L19" s="630"/>
      <c r="T19" s="629">
        <v>256</v>
      </c>
      <c r="U19" s="629">
        <v>308</v>
      </c>
      <c r="W19" s="629">
        <f t="shared" si="0"/>
        <v>1</v>
      </c>
      <c r="X19" s="629">
        <f t="shared" si="1"/>
        <v>1</v>
      </c>
    </row>
    <row r="20" spans="1:24" ht="12.75">
      <c r="A20" s="634"/>
      <c r="B20" s="640" t="s">
        <v>18</v>
      </c>
      <c r="C20" s="650" t="s">
        <v>16</v>
      </c>
      <c r="D20" s="640" t="s">
        <v>17</v>
      </c>
      <c r="E20" s="641" t="s">
        <v>19</v>
      </c>
      <c r="F20" s="642" t="s">
        <v>63</v>
      </c>
      <c r="G20" s="843">
        <f>'Resolución 137-2019-OS_CD'!G19*Factores!$B$7</f>
        <v>2206.3737</v>
      </c>
      <c r="H20" s="843">
        <f>+ROUND('Resolución 137-2019-OS_CD'!H19*Factores!$B$7,0)</f>
        <v>2343</v>
      </c>
      <c r="I20" s="523"/>
      <c r="J20" s="630"/>
      <c r="K20" s="887"/>
      <c r="L20" s="630"/>
      <c r="T20" s="629">
        <v>1542</v>
      </c>
      <c r="U20" s="629">
        <v>1621</v>
      </c>
      <c r="W20" s="629">
        <f t="shared" si="0"/>
        <v>1</v>
      </c>
      <c r="X20" s="629">
        <f t="shared" si="1"/>
        <v>1</v>
      </c>
    </row>
    <row r="21" spans="1:24" ht="12.75">
      <c r="A21" s="634"/>
      <c r="B21" s="643"/>
      <c r="C21" s="644"/>
      <c r="D21" s="643"/>
      <c r="E21" s="645"/>
      <c r="F21" s="642" t="s">
        <v>60</v>
      </c>
      <c r="G21" s="843">
        <f>'Resolución 137-2019-OS_CD'!G20*Factores!$B$7</f>
        <v>637.6161000000001</v>
      </c>
      <c r="H21" s="843">
        <f>+ROUND('Resolución 137-2019-OS_CD'!H20*Factores!$B$7,0)</f>
        <v>776</v>
      </c>
      <c r="I21" s="523"/>
      <c r="J21" s="630"/>
      <c r="K21" s="887"/>
      <c r="L21" s="630"/>
      <c r="T21" s="629">
        <v>503</v>
      </c>
      <c r="U21" s="629">
        <v>581</v>
      </c>
      <c r="W21" s="629">
        <f t="shared" si="0"/>
        <v>1</v>
      </c>
      <c r="X21" s="629">
        <f t="shared" si="1"/>
        <v>1</v>
      </c>
    </row>
    <row r="22" spans="1:24" ht="12.75">
      <c r="A22" s="634"/>
      <c r="B22" s="643"/>
      <c r="C22" s="644"/>
      <c r="D22" s="643"/>
      <c r="E22" s="645"/>
      <c r="F22" s="642" t="s">
        <v>56</v>
      </c>
      <c r="G22" s="843">
        <f>'Resolución 137-2019-OS_CD'!G21*Factores!$B$7</f>
        <v>435.35490000000004</v>
      </c>
      <c r="H22" s="843">
        <f>+ROUND('Resolución 137-2019-OS_CD'!H21*Factores!$B$7,0)</f>
        <v>528</v>
      </c>
      <c r="I22" s="523"/>
      <c r="J22" s="630"/>
      <c r="K22" s="887"/>
      <c r="L22" s="630"/>
      <c r="T22" s="629">
        <v>318</v>
      </c>
      <c r="U22" s="629">
        <v>402</v>
      </c>
      <c r="W22" s="629">
        <f t="shared" si="0"/>
        <v>1</v>
      </c>
      <c r="X22" s="629">
        <f t="shared" si="1"/>
        <v>1</v>
      </c>
    </row>
    <row r="23" spans="1:24" ht="12.75">
      <c r="A23" s="634"/>
      <c r="B23" s="643"/>
      <c r="C23" s="644"/>
      <c r="D23" s="643"/>
      <c r="E23" s="645"/>
      <c r="F23" s="642" t="s">
        <v>272</v>
      </c>
      <c r="G23" s="843">
        <f>'Resolución 137-2019-OS_CD'!G22*Factores!$B$7</f>
        <v>2767.5252</v>
      </c>
      <c r="H23" s="843">
        <f>+ROUND('Resolución 137-2019-OS_CD'!H22*Factores!$B$7,0)</f>
        <v>2860</v>
      </c>
      <c r="I23" s="523"/>
      <c r="J23" s="630"/>
      <c r="K23" s="887"/>
      <c r="L23" s="630"/>
      <c r="T23" s="629">
        <v>2099</v>
      </c>
      <c r="U23" s="629">
        <v>2184</v>
      </c>
      <c r="W23" s="629">
        <f t="shared" si="0"/>
        <v>1</v>
      </c>
      <c r="X23" s="629">
        <f t="shared" si="1"/>
        <v>1</v>
      </c>
    </row>
    <row r="24" spans="1:24" ht="12.75">
      <c r="A24" s="634"/>
      <c r="B24" s="643"/>
      <c r="C24" s="644"/>
      <c r="D24" s="651" t="s">
        <v>21</v>
      </c>
      <c r="E24" s="652" t="s">
        <v>22</v>
      </c>
      <c r="F24" s="642" t="s">
        <v>63</v>
      </c>
      <c r="G24" s="843">
        <f>'Resolución 137-2019-OS_CD'!G23*Factores!$B$7</f>
        <v>2238.4395</v>
      </c>
      <c r="H24" s="843">
        <f>+ROUND('Resolución 137-2019-OS_CD'!H23*Factores!$B$7,0)</f>
        <v>2354</v>
      </c>
      <c r="I24" s="523"/>
      <c r="J24" s="630"/>
      <c r="K24" s="887"/>
      <c r="L24" s="630"/>
      <c r="T24" s="629">
        <v>1597</v>
      </c>
      <c r="U24" s="629">
        <v>1624</v>
      </c>
      <c r="W24" s="629">
        <f t="shared" si="0"/>
        <v>1</v>
      </c>
      <c r="X24" s="629">
        <f t="shared" si="1"/>
        <v>1</v>
      </c>
    </row>
    <row r="25" spans="1:24" ht="12.75">
      <c r="A25" s="634"/>
      <c r="B25" s="643"/>
      <c r="C25" s="644"/>
      <c r="D25" s="643"/>
      <c r="E25" s="645"/>
      <c r="F25" s="642" t="s">
        <v>60</v>
      </c>
      <c r="G25" s="843">
        <f>'Resolución 137-2019-OS_CD'!G24*Factores!$B$7</f>
        <v>669.6819</v>
      </c>
      <c r="H25" s="843">
        <f>+ROUND('Resolución 137-2019-OS_CD'!H24*Factores!$B$7,0)</f>
        <v>786</v>
      </c>
      <c r="I25" s="523"/>
      <c r="J25" s="630"/>
      <c r="K25" s="887"/>
      <c r="L25" s="630"/>
      <c r="T25" s="629">
        <v>558</v>
      </c>
      <c r="U25" s="629">
        <v>585</v>
      </c>
      <c r="W25" s="629">
        <f t="shared" si="0"/>
        <v>1</v>
      </c>
      <c r="X25" s="629">
        <f t="shared" si="1"/>
        <v>1</v>
      </c>
    </row>
    <row r="26" spans="1:24" ht="12.75">
      <c r="A26" s="634"/>
      <c r="B26" s="643"/>
      <c r="C26" s="644"/>
      <c r="D26" s="643"/>
      <c r="E26" s="645"/>
      <c r="F26" s="642" t="s">
        <v>56</v>
      </c>
      <c r="G26" s="843">
        <f>'Resolución 137-2019-OS_CD'!G25*Factores!$B$7</f>
        <v>467.4207</v>
      </c>
      <c r="H26" s="843">
        <f>+ROUND('Resolución 137-2019-OS_CD'!H25*Factores!$B$7,0)</f>
        <v>539</v>
      </c>
      <c r="I26" s="523"/>
      <c r="J26" s="630"/>
      <c r="K26" s="887"/>
      <c r="L26" s="630"/>
      <c r="T26" s="629">
        <v>373</v>
      </c>
      <c r="U26" s="629">
        <v>406</v>
      </c>
      <c r="W26" s="629">
        <f t="shared" si="0"/>
        <v>1</v>
      </c>
      <c r="X26" s="629">
        <f t="shared" si="1"/>
        <v>1</v>
      </c>
    </row>
    <row r="27" spans="1:24" ht="12.75">
      <c r="A27" s="634"/>
      <c r="B27" s="643"/>
      <c r="C27" s="644"/>
      <c r="D27" s="643"/>
      <c r="E27" s="645"/>
      <c r="F27" s="642" t="s">
        <v>272</v>
      </c>
      <c r="G27" s="843">
        <f>'Resolución 137-2019-OS_CD'!G26*Factores!$B$7</f>
        <v>2943.8871000000004</v>
      </c>
      <c r="H27" s="843">
        <f>+ROUND('Resolución 137-2019-OS_CD'!H26*Factores!$B$7,0)</f>
        <v>3015</v>
      </c>
      <c r="I27" s="523"/>
      <c r="J27" s="630"/>
      <c r="K27" s="887"/>
      <c r="L27" s="630"/>
      <c r="T27" s="629">
        <v>2250</v>
      </c>
      <c r="U27" s="629">
        <v>2283</v>
      </c>
      <c r="W27" s="629">
        <f t="shared" si="0"/>
        <v>1</v>
      </c>
      <c r="X27" s="629">
        <f t="shared" si="1"/>
        <v>1</v>
      </c>
    </row>
    <row r="28" spans="1:24" ht="12.75">
      <c r="A28" s="634"/>
      <c r="B28" s="643"/>
      <c r="C28" s="650" t="s">
        <v>23</v>
      </c>
      <c r="D28" s="640" t="s">
        <v>24</v>
      </c>
      <c r="E28" s="641" t="s">
        <v>25</v>
      </c>
      <c r="F28" s="653" t="s">
        <v>273</v>
      </c>
      <c r="G28" s="843">
        <f>'Resolución 137-2019-OS_CD'!G27*Factores!$B$8</f>
        <v>3755.4527999999996</v>
      </c>
      <c r="H28" s="843">
        <f>'Resolución 137-2019-OS_CD'!H27*Factores!$B$8</f>
        <v>4076.1663999999996</v>
      </c>
      <c r="I28" s="523"/>
      <c r="J28" s="630"/>
      <c r="K28" s="887"/>
      <c r="L28" s="630"/>
      <c r="T28" s="629">
        <v>2721</v>
      </c>
      <c r="U28" s="629">
        <v>2855</v>
      </c>
      <c r="W28" s="629">
        <f t="shared" si="0"/>
        <v>1</v>
      </c>
      <c r="X28" s="629">
        <f t="shared" si="1"/>
        <v>1</v>
      </c>
    </row>
    <row r="29" spans="1:24" ht="12.75">
      <c r="A29" s="634"/>
      <c r="B29" s="643"/>
      <c r="C29" s="650" t="s">
        <v>26</v>
      </c>
      <c r="D29" s="640" t="s">
        <v>27</v>
      </c>
      <c r="E29" s="641" t="s">
        <v>28</v>
      </c>
      <c r="F29" s="642" t="s">
        <v>272</v>
      </c>
      <c r="G29" s="843">
        <f>'Resolución 137-2019-OS_CD'!G28*Factores!$B$8</f>
        <v>4016.6791999999996</v>
      </c>
      <c r="H29" s="843">
        <f>'Resolución 137-2019-OS_CD'!H28*Factores!$B$8</f>
        <v>4881.83</v>
      </c>
      <c r="I29" s="523"/>
      <c r="J29" s="630"/>
      <c r="K29" s="887"/>
      <c r="L29" s="630"/>
      <c r="T29" s="629">
        <v>2839</v>
      </c>
      <c r="U29" s="629">
        <v>3427</v>
      </c>
      <c r="W29" s="629">
        <f t="shared" si="0"/>
        <v>1</v>
      </c>
      <c r="X29" s="629">
        <f t="shared" si="1"/>
        <v>1</v>
      </c>
    </row>
    <row r="30" spans="1:24" ht="12.75">
      <c r="A30" s="634"/>
      <c r="B30" s="643"/>
      <c r="C30" s="644"/>
      <c r="D30" s="651" t="s">
        <v>29</v>
      </c>
      <c r="E30" s="652" t="s">
        <v>30</v>
      </c>
      <c r="F30" s="642" t="s">
        <v>272</v>
      </c>
      <c r="G30" s="843"/>
      <c r="H30" s="843">
        <f>'Resolución 137-2019-OS_CD'!H29*Factores!$B$8</f>
        <v>6843.6143999999995</v>
      </c>
      <c r="I30" s="523"/>
      <c r="J30" s="630"/>
      <c r="K30" s="630"/>
      <c r="L30" s="630"/>
      <c r="U30" s="629">
        <v>4896</v>
      </c>
      <c r="W30" s="629">
        <f t="shared" si="0"/>
        <v>0</v>
      </c>
      <c r="X30" s="629">
        <f t="shared" si="1"/>
        <v>1</v>
      </c>
    </row>
    <row r="31" spans="1:24" ht="12.75">
      <c r="A31" s="634"/>
      <c r="B31" s="643"/>
      <c r="C31" s="644"/>
      <c r="D31" s="651" t="s">
        <v>31</v>
      </c>
      <c r="E31" s="652" t="s">
        <v>32</v>
      </c>
      <c r="F31" s="642" t="s">
        <v>272</v>
      </c>
      <c r="G31" s="843"/>
      <c r="H31" s="843">
        <f>'Resolución 137-2019-OS_CD'!H30*Factores!$B$8</f>
        <v>9020.07</v>
      </c>
      <c r="I31" s="523"/>
      <c r="J31" s="630"/>
      <c r="K31" s="630"/>
      <c r="L31" s="630"/>
      <c r="U31" s="629">
        <v>5547</v>
      </c>
      <c r="W31" s="629">
        <f t="shared" si="0"/>
        <v>0</v>
      </c>
      <c r="X31" s="629">
        <f t="shared" si="1"/>
        <v>1</v>
      </c>
    </row>
    <row r="32" spans="1:26" ht="12.75">
      <c r="A32" s="634"/>
      <c r="B32" s="647"/>
      <c r="C32" s="654"/>
      <c r="D32" s="655" t="s">
        <v>33</v>
      </c>
      <c r="E32" s="656" t="s">
        <v>34</v>
      </c>
      <c r="F32" s="642" t="s">
        <v>272</v>
      </c>
      <c r="G32" s="843"/>
      <c r="H32" s="843">
        <f>'Resolución 137-2019-OS_CD'!H31*Factores!$B$8</f>
        <v>9886.514</v>
      </c>
      <c r="I32" s="523"/>
      <c r="J32" s="630"/>
      <c r="K32" s="630"/>
      <c r="L32" s="630"/>
      <c r="U32" s="629">
        <v>6063</v>
      </c>
      <c r="W32" s="629">
        <f t="shared" si="0"/>
        <v>0</v>
      </c>
      <c r="X32" s="629">
        <f t="shared" si="1"/>
        <v>1</v>
      </c>
      <c r="Y32" s="657">
        <f>+SUM(W10:X32)</f>
        <v>41</v>
      </c>
      <c r="Z32" s="629" t="b">
        <f>+IF(Y32=0,"ok")</f>
        <v>0</v>
      </c>
    </row>
    <row r="33" spans="1:12" ht="14.25" customHeight="1">
      <c r="A33" s="634"/>
      <c r="B33" s="523" t="s">
        <v>276</v>
      </c>
      <c r="C33" s="523"/>
      <c r="D33" s="523"/>
      <c r="E33" s="523"/>
      <c r="F33" s="523"/>
      <c r="G33" s="523"/>
      <c r="H33" s="633"/>
      <c r="I33" s="523"/>
      <c r="J33" s="630"/>
      <c r="K33" s="630"/>
      <c r="L33" s="630"/>
    </row>
    <row r="34" spans="1:12" ht="12.75">
      <c r="A34" s="634"/>
      <c r="B34" s="523" t="s">
        <v>277</v>
      </c>
      <c r="C34" s="523"/>
      <c r="D34" s="523"/>
      <c r="E34" s="523"/>
      <c r="F34" s="523"/>
      <c r="G34" s="523"/>
      <c r="H34" s="633"/>
      <c r="I34" s="523"/>
      <c r="J34" s="630"/>
      <c r="K34" s="630"/>
      <c r="L34" s="630"/>
    </row>
    <row r="35" spans="1:12" ht="12.75">
      <c r="A35" s="634"/>
      <c r="B35" s="523" t="s">
        <v>278</v>
      </c>
      <c r="C35" s="523"/>
      <c r="D35" s="523"/>
      <c r="E35" s="523"/>
      <c r="F35" s="523"/>
      <c r="G35" s="523"/>
      <c r="H35" s="633"/>
      <c r="I35" s="523"/>
      <c r="J35" s="630"/>
      <c r="K35" s="630"/>
      <c r="L35" s="630"/>
    </row>
    <row r="36" spans="1:12" ht="12.75">
      <c r="A36" s="634"/>
      <c r="B36" s="523"/>
      <c r="C36" s="523"/>
      <c r="D36" s="523"/>
      <c r="E36" s="523"/>
      <c r="F36" s="523"/>
      <c r="G36" s="523"/>
      <c r="H36" s="633"/>
      <c r="I36" s="523"/>
      <c r="J36" s="630"/>
      <c r="K36" s="630"/>
      <c r="L36" s="630"/>
    </row>
    <row r="37" spans="1:12" ht="12.75">
      <c r="A37" s="634"/>
      <c r="B37" s="523"/>
      <c r="C37" s="523"/>
      <c r="D37" s="523"/>
      <c r="E37" s="523"/>
      <c r="F37" s="523"/>
      <c r="G37" s="523"/>
      <c r="H37" s="633"/>
      <c r="I37" s="523"/>
      <c r="J37" s="630"/>
      <c r="K37" s="630"/>
      <c r="L37" s="630"/>
    </row>
    <row r="38" spans="1:12" ht="15.75">
      <c r="A38" s="634"/>
      <c r="B38" s="632" t="s">
        <v>279</v>
      </c>
      <c r="C38" s="523"/>
      <c r="D38" s="633"/>
      <c r="E38" s="633"/>
      <c r="F38" s="633"/>
      <c r="G38" s="633"/>
      <c r="H38" s="633"/>
      <c r="I38" s="523"/>
      <c r="J38" s="630"/>
      <c r="K38" s="630"/>
      <c r="L38" s="630"/>
    </row>
    <row r="39" spans="1:12" ht="12.75">
      <c r="A39" s="634"/>
      <c r="B39" s="523"/>
      <c r="C39" s="523"/>
      <c r="D39" s="523"/>
      <c r="E39" s="523"/>
      <c r="F39" s="633"/>
      <c r="G39" s="633"/>
      <c r="H39" s="633"/>
      <c r="I39" s="523"/>
      <c r="J39" s="630"/>
      <c r="K39" s="630"/>
      <c r="L39" s="630"/>
    </row>
    <row r="40" spans="1:12" ht="12.75">
      <c r="A40" s="634"/>
      <c r="B40" s="633"/>
      <c r="C40" s="633"/>
      <c r="D40" s="633"/>
      <c r="E40" s="633"/>
      <c r="F40" s="633"/>
      <c r="G40" s="633"/>
      <c r="H40" s="633"/>
      <c r="I40" s="523"/>
      <c r="J40" s="630"/>
      <c r="K40" s="630"/>
      <c r="L40" s="630"/>
    </row>
    <row r="41" spans="1:12" ht="12.75">
      <c r="A41" s="634"/>
      <c r="B41" s="635" t="s">
        <v>6</v>
      </c>
      <c r="C41" s="635" t="s">
        <v>3</v>
      </c>
      <c r="D41" s="635" t="s">
        <v>4</v>
      </c>
      <c r="E41" s="635" t="s">
        <v>7</v>
      </c>
      <c r="F41" s="635" t="s">
        <v>49</v>
      </c>
      <c r="G41" s="635" t="s">
        <v>89</v>
      </c>
      <c r="H41" s="635" t="s">
        <v>305</v>
      </c>
      <c r="I41" s="523"/>
      <c r="J41" s="630"/>
      <c r="K41" s="630"/>
      <c r="L41" s="630"/>
    </row>
    <row r="42" spans="1:23" ht="12.75" customHeight="1">
      <c r="A42" s="634"/>
      <c r="B42" s="658"/>
      <c r="C42" s="658"/>
      <c r="D42" s="658"/>
      <c r="E42" s="658" t="s">
        <v>86</v>
      </c>
      <c r="F42" s="658" t="s">
        <v>304</v>
      </c>
      <c r="G42" s="658"/>
      <c r="H42" s="659" t="s">
        <v>280</v>
      </c>
      <c r="I42" s="523"/>
      <c r="J42" s="630"/>
      <c r="K42" s="630"/>
      <c r="L42" s="630"/>
      <c r="T42" s="629">
        <v>167</v>
      </c>
      <c r="U42" s="629">
        <v>63</v>
      </c>
      <c r="V42" s="629">
        <f aca="true" t="shared" si="2" ref="V42:W47">+IF(T42=G43,0,1)</f>
        <v>1</v>
      </c>
      <c r="W42" s="629">
        <f t="shared" si="2"/>
        <v>1</v>
      </c>
    </row>
    <row r="43" spans="1:23" ht="12.75">
      <c r="A43" s="634"/>
      <c r="B43" s="640" t="s">
        <v>11</v>
      </c>
      <c r="C43" s="640" t="s">
        <v>9</v>
      </c>
      <c r="D43" s="640" t="s">
        <v>10</v>
      </c>
      <c r="E43" s="641" t="s">
        <v>12</v>
      </c>
      <c r="F43" s="660" t="s">
        <v>87</v>
      </c>
      <c r="G43" s="844">
        <f>'Resolución 137-2019-OS_CD'!G41*Factores!$B$7</f>
        <v>196.09470000000002</v>
      </c>
      <c r="H43" s="844">
        <f>'Resolución 137-2019-OS_CD'!H41*Factores!$B$7</f>
        <v>86.331</v>
      </c>
      <c r="I43" s="523"/>
      <c r="J43" s="630"/>
      <c r="K43" s="630"/>
      <c r="L43" s="630"/>
      <c r="T43" s="629">
        <v>176</v>
      </c>
      <c r="U43" s="629">
        <v>63</v>
      </c>
      <c r="V43" s="629">
        <f t="shared" si="2"/>
        <v>1</v>
      </c>
      <c r="W43" s="629">
        <f t="shared" si="2"/>
        <v>1</v>
      </c>
    </row>
    <row r="44" spans="1:23" ht="12.75">
      <c r="A44" s="634"/>
      <c r="B44" s="646"/>
      <c r="C44" s="646"/>
      <c r="D44" s="661"/>
      <c r="E44" s="661"/>
      <c r="F44" s="660" t="s">
        <v>88</v>
      </c>
      <c r="G44" s="844">
        <f>'Resolución 137-2019-OS_CD'!G42*Factores!$B$7</f>
        <v>202.2612</v>
      </c>
      <c r="H44" s="844">
        <f>'Resolución 137-2019-OS_CD'!H42*Factores!$B$7</f>
        <v>86.331</v>
      </c>
      <c r="I44" s="523"/>
      <c r="J44" s="630"/>
      <c r="K44" s="630"/>
      <c r="L44" s="630"/>
      <c r="T44" s="629">
        <v>190</v>
      </c>
      <c r="U44" s="629">
        <v>107</v>
      </c>
      <c r="V44" s="629">
        <f t="shared" si="2"/>
        <v>1</v>
      </c>
      <c r="W44" s="629">
        <f t="shared" si="2"/>
        <v>1</v>
      </c>
    </row>
    <row r="45" spans="1:23" ht="12.75">
      <c r="A45" s="634"/>
      <c r="B45" s="643"/>
      <c r="C45" s="643"/>
      <c r="D45" s="640" t="s">
        <v>14</v>
      </c>
      <c r="E45" s="641" t="s">
        <v>15</v>
      </c>
      <c r="F45" s="660" t="s">
        <v>87</v>
      </c>
      <c r="G45" s="844">
        <f>'Resolución 137-2019-OS_CD'!G43*Factores!$B$7</f>
        <v>213.36090000000002</v>
      </c>
      <c r="H45" s="844">
        <f>'Resolución 137-2019-OS_CD'!H43*Factores!$B$7</f>
        <v>152.9292</v>
      </c>
      <c r="I45" s="523"/>
      <c r="J45" s="630"/>
      <c r="K45" s="630"/>
      <c r="L45" s="630"/>
      <c r="T45" s="629">
        <v>198</v>
      </c>
      <c r="U45" s="629">
        <v>107</v>
      </c>
      <c r="V45" s="629">
        <f t="shared" si="2"/>
        <v>1</v>
      </c>
      <c r="W45" s="629">
        <f t="shared" si="2"/>
        <v>1</v>
      </c>
    </row>
    <row r="46" spans="1:23" ht="12.75">
      <c r="A46" s="634"/>
      <c r="B46" s="661"/>
      <c r="C46" s="661"/>
      <c r="D46" s="661"/>
      <c r="E46" s="662"/>
      <c r="F46" s="660" t="s">
        <v>88</v>
      </c>
      <c r="G46" s="844">
        <f>'Resolución 137-2019-OS_CD'!G44*Factores!$B$7</f>
        <v>220.7607</v>
      </c>
      <c r="H46" s="844">
        <f>'Resolución 137-2019-OS_CD'!H44*Factores!$B$7</f>
        <v>152.9292</v>
      </c>
      <c r="I46" s="523"/>
      <c r="J46" s="630"/>
      <c r="K46" s="630"/>
      <c r="L46" s="630"/>
      <c r="T46" s="629">
        <v>341</v>
      </c>
      <c r="U46" s="629">
        <v>108</v>
      </c>
      <c r="V46" s="629">
        <f t="shared" si="2"/>
        <v>1</v>
      </c>
      <c r="W46" s="629">
        <f t="shared" si="2"/>
        <v>1</v>
      </c>
    </row>
    <row r="47" spans="1:25" ht="12.75">
      <c r="A47" s="634"/>
      <c r="B47" s="640" t="s">
        <v>18</v>
      </c>
      <c r="C47" s="640" t="s">
        <v>16</v>
      </c>
      <c r="D47" s="663" t="s">
        <v>17</v>
      </c>
      <c r="E47" s="664" t="s">
        <v>19</v>
      </c>
      <c r="F47" s="663" t="s">
        <v>60</v>
      </c>
      <c r="G47" s="844">
        <f>'Resolución 137-2019-OS_CD'!G45*Factores!$B$7</f>
        <v>409.4556</v>
      </c>
      <c r="H47" s="844">
        <f>'Resolución 137-2019-OS_CD'!H45*Factores!$B$7</f>
        <v>154.1625</v>
      </c>
      <c r="I47" s="523"/>
      <c r="J47" s="630"/>
      <c r="K47" s="630"/>
      <c r="L47" s="630"/>
      <c r="T47" s="629">
        <v>355</v>
      </c>
      <c r="U47" s="629">
        <v>223</v>
      </c>
      <c r="V47" s="629">
        <f t="shared" si="2"/>
        <v>1</v>
      </c>
      <c r="W47" s="629">
        <f t="shared" si="2"/>
        <v>1</v>
      </c>
      <c r="X47" s="665">
        <f>+SUM(V42:W47)</f>
        <v>12</v>
      </c>
      <c r="Y47" s="629" t="b">
        <f>+IF(X47=0,"ok")</f>
        <v>0</v>
      </c>
    </row>
    <row r="48" spans="1:12" ht="12.75">
      <c r="A48" s="634"/>
      <c r="B48" s="647"/>
      <c r="C48" s="647"/>
      <c r="D48" s="663" t="s">
        <v>21</v>
      </c>
      <c r="E48" s="666" t="s">
        <v>22</v>
      </c>
      <c r="F48" s="663" t="s">
        <v>60</v>
      </c>
      <c r="G48" s="844">
        <f>'Resolución 137-2019-OS_CD'!G46*Factores!$B$7</f>
        <v>436.58820000000003</v>
      </c>
      <c r="H48" s="844">
        <f>'Resolución 137-2019-OS_CD'!H46*Factores!$B$7</f>
        <v>315.7248</v>
      </c>
      <c r="I48" s="523"/>
      <c r="J48" s="630"/>
      <c r="K48" s="630"/>
      <c r="L48" s="630"/>
    </row>
    <row r="49" spans="1:12" ht="12.75">
      <c r="A49" s="634"/>
      <c r="B49" s="523" t="s">
        <v>281</v>
      </c>
      <c r="C49" s="523"/>
      <c r="D49" s="523"/>
      <c r="E49" s="523"/>
      <c r="F49" s="523"/>
      <c r="G49" s="523"/>
      <c r="H49" s="523"/>
      <c r="I49" s="523"/>
      <c r="J49" s="630"/>
      <c r="K49" s="630"/>
      <c r="L49" s="630"/>
    </row>
    <row r="50" spans="1:12" ht="12.75">
      <c r="A50" s="634"/>
      <c r="B50" s="523"/>
      <c r="C50" s="523"/>
      <c r="D50" s="523"/>
      <c r="E50" s="523"/>
      <c r="F50" s="523"/>
      <c r="G50" s="523"/>
      <c r="H50" s="523"/>
      <c r="I50" s="523"/>
      <c r="J50" s="630"/>
      <c r="K50" s="630"/>
      <c r="L50" s="630"/>
    </row>
    <row r="51" spans="1:12" ht="12.75">
      <c r="A51" s="634"/>
      <c r="B51" s="523"/>
      <c r="C51" s="523"/>
      <c r="D51" s="523"/>
      <c r="E51" s="523"/>
      <c r="F51" s="523"/>
      <c r="G51" s="523"/>
      <c r="H51" s="523"/>
      <c r="I51" s="523"/>
      <c r="J51" s="630"/>
      <c r="K51" s="630"/>
      <c r="L51" s="630"/>
    </row>
    <row r="52" spans="1:12" ht="15.75">
      <c r="A52" s="634"/>
      <c r="B52" s="632" t="s">
        <v>282</v>
      </c>
      <c r="C52" s="523"/>
      <c r="D52" s="523"/>
      <c r="E52" s="523"/>
      <c r="F52" s="523"/>
      <c r="G52" s="523"/>
      <c r="H52" s="523"/>
      <c r="I52" s="523"/>
      <c r="J52" s="630"/>
      <c r="K52" s="630"/>
      <c r="L52" s="630"/>
    </row>
    <row r="53" spans="1:12" ht="12.75">
      <c r="A53" s="634"/>
      <c r="B53" s="523"/>
      <c r="C53" s="523"/>
      <c r="D53" s="633"/>
      <c r="E53" s="633"/>
      <c r="F53" s="633"/>
      <c r="G53" s="633"/>
      <c r="H53" s="633"/>
      <c r="I53" s="523"/>
      <c r="J53" s="630"/>
      <c r="K53" s="630"/>
      <c r="L53" s="630"/>
    </row>
    <row r="54" spans="2:12" ht="12.75">
      <c r="B54" s="635" t="s">
        <v>6</v>
      </c>
      <c r="C54" s="636" t="s">
        <v>3</v>
      </c>
      <c r="D54" s="635" t="s">
        <v>4</v>
      </c>
      <c r="E54" s="635" t="s">
        <v>7</v>
      </c>
      <c r="F54" s="635" t="s">
        <v>49</v>
      </c>
      <c r="G54" s="635" t="s">
        <v>1</v>
      </c>
      <c r="H54" s="635" t="s">
        <v>2</v>
      </c>
      <c r="I54" s="523"/>
      <c r="J54" s="630"/>
      <c r="K54" s="630"/>
      <c r="L54" s="630"/>
    </row>
    <row r="55" spans="1:23" ht="12.75">
      <c r="A55" s="631"/>
      <c r="B55" s="637"/>
      <c r="C55" s="638"/>
      <c r="D55" s="637"/>
      <c r="E55" s="637" t="s">
        <v>86</v>
      </c>
      <c r="F55" s="637" t="s">
        <v>304</v>
      </c>
      <c r="G55" s="639" t="s">
        <v>280</v>
      </c>
      <c r="H55" s="637" t="s">
        <v>285</v>
      </c>
      <c r="I55" s="523"/>
      <c r="J55" s="630"/>
      <c r="K55" s="630"/>
      <c r="L55" s="630"/>
      <c r="T55" s="629">
        <v>1572</v>
      </c>
      <c r="U55" s="629">
        <v>1689</v>
      </c>
      <c r="V55" s="629">
        <f aca="true" t="shared" si="3" ref="V55:V67">+IF(T55=G56,0,1)</f>
        <v>1</v>
      </c>
      <c r="W55" s="629">
        <f aca="true" t="shared" si="4" ref="W55:W67">+IF(U55=H56,0,1)</f>
        <v>1</v>
      </c>
    </row>
    <row r="56" spans="1:23" ht="12.75">
      <c r="A56" s="634"/>
      <c r="B56" s="640" t="s">
        <v>18</v>
      </c>
      <c r="C56" s="650" t="s">
        <v>16</v>
      </c>
      <c r="D56" s="640" t="s">
        <v>17</v>
      </c>
      <c r="E56" s="641" t="s">
        <v>19</v>
      </c>
      <c r="F56" s="642" t="s">
        <v>63</v>
      </c>
      <c r="G56" s="843">
        <f>'Resolución 137-2019-OS_CD'!G54*Factores!$B$7</f>
        <v>2256.9390000000003</v>
      </c>
      <c r="H56" s="843">
        <f>'Resolución 137-2019-OS_CD'!H54*Factores!$B$7</f>
        <v>2443.1673</v>
      </c>
      <c r="I56" s="523"/>
      <c r="J56" s="630"/>
      <c r="K56" s="630"/>
      <c r="L56" s="630"/>
      <c r="T56" s="629">
        <v>508</v>
      </c>
      <c r="U56" s="629">
        <v>625</v>
      </c>
      <c r="V56" s="629">
        <f t="shared" si="3"/>
        <v>1</v>
      </c>
      <c r="W56" s="629">
        <f t="shared" si="4"/>
        <v>1</v>
      </c>
    </row>
    <row r="57" spans="1:23" ht="12.75" customHeight="1">
      <c r="A57" s="634"/>
      <c r="B57" s="643"/>
      <c r="C57" s="644"/>
      <c r="D57" s="643"/>
      <c r="E57" s="645"/>
      <c r="F57" s="642" t="s">
        <v>60</v>
      </c>
      <c r="G57" s="843">
        <f>'Resolución 137-2019-OS_CD'!G55*Factores!$B$7</f>
        <v>643.7826</v>
      </c>
      <c r="H57" s="843">
        <f>'Resolución 137-2019-OS_CD'!H55*Factores!$B$7</f>
        <v>831.2442000000001</v>
      </c>
      <c r="I57" s="523"/>
      <c r="J57" s="630"/>
      <c r="K57" s="630"/>
      <c r="L57" s="630"/>
      <c r="T57" s="629">
        <v>322</v>
      </c>
      <c r="U57" s="629">
        <v>438</v>
      </c>
      <c r="V57" s="629">
        <f t="shared" si="3"/>
        <v>1</v>
      </c>
      <c r="W57" s="629">
        <f t="shared" si="4"/>
        <v>1</v>
      </c>
    </row>
    <row r="58" spans="1:23" ht="12.75" customHeight="1">
      <c r="A58" s="634"/>
      <c r="B58" s="643"/>
      <c r="C58" s="644"/>
      <c r="D58" s="643"/>
      <c r="E58" s="645"/>
      <c r="F58" s="642" t="s">
        <v>56</v>
      </c>
      <c r="G58" s="843">
        <f>'Resolución 137-2019-OS_CD'!G56*Factores!$B$7</f>
        <v>442.7547</v>
      </c>
      <c r="H58" s="843">
        <f>'Resolución 137-2019-OS_CD'!H56*Factores!$B$7</f>
        <v>579.6510000000001</v>
      </c>
      <c r="I58" s="523"/>
      <c r="J58" s="630"/>
      <c r="K58" s="630"/>
      <c r="L58" s="630"/>
      <c r="T58" s="629">
        <v>2188</v>
      </c>
      <c r="U58" s="629">
        <v>2305</v>
      </c>
      <c r="V58" s="629">
        <f t="shared" si="3"/>
        <v>1</v>
      </c>
      <c r="W58" s="629">
        <f t="shared" si="4"/>
        <v>1</v>
      </c>
    </row>
    <row r="59" spans="1:23" ht="12.75">
      <c r="A59" s="634"/>
      <c r="B59" s="643"/>
      <c r="C59" s="644"/>
      <c r="D59" s="643"/>
      <c r="E59" s="645"/>
      <c r="F59" s="642" t="s">
        <v>272</v>
      </c>
      <c r="G59" s="843">
        <f>'Resolución 137-2019-OS_CD'!G57*Factores!$B$7</f>
        <v>2766.2919</v>
      </c>
      <c r="H59" s="843">
        <f>'Resolución 137-2019-OS_CD'!H57*Factores!$B$7</f>
        <v>2903.1882</v>
      </c>
      <c r="I59" s="523"/>
      <c r="J59" s="630"/>
      <c r="K59" s="630"/>
      <c r="L59" s="630"/>
      <c r="T59" s="629">
        <v>1601</v>
      </c>
      <c r="U59" s="629">
        <v>1717</v>
      </c>
      <c r="V59" s="629">
        <f t="shared" si="3"/>
        <v>1</v>
      </c>
      <c r="W59" s="629">
        <f t="shared" si="4"/>
        <v>1</v>
      </c>
    </row>
    <row r="60" spans="1:23" ht="12.75">
      <c r="A60" s="634"/>
      <c r="B60" s="643"/>
      <c r="C60" s="644"/>
      <c r="D60" s="651" t="s">
        <v>21</v>
      </c>
      <c r="E60" s="652" t="s">
        <v>22</v>
      </c>
      <c r="F60" s="642" t="s">
        <v>63</v>
      </c>
      <c r="G60" s="843">
        <f>'Resolución 137-2019-OS_CD'!G58*Factores!$B$7</f>
        <v>2260.6389</v>
      </c>
      <c r="H60" s="843">
        <f>'Resolución 137-2019-OS_CD'!H58*Factores!$B$7</f>
        <v>2448.1005</v>
      </c>
      <c r="I60" s="523"/>
      <c r="J60" s="630"/>
      <c r="K60" s="630"/>
      <c r="L60" s="630"/>
      <c r="T60" s="629">
        <v>536</v>
      </c>
      <c r="U60" s="629">
        <v>653</v>
      </c>
      <c r="V60" s="629">
        <f t="shared" si="3"/>
        <v>1</v>
      </c>
      <c r="W60" s="629">
        <f t="shared" si="4"/>
        <v>1</v>
      </c>
    </row>
    <row r="61" spans="1:23" ht="12.75">
      <c r="A61" s="634"/>
      <c r="B61" s="643"/>
      <c r="C61" s="644"/>
      <c r="D61" s="643"/>
      <c r="E61" s="645"/>
      <c r="F61" s="642" t="s">
        <v>60</v>
      </c>
      <c r="G61" s="843">
        <f>'Resolución 137-2019-OS_CD'!G59*Factores!$B$7</f>
        <v>647.4825000000001</v>
      </c>
      <c r="H61" s="843">
        <f>'Resolución 137-2019-OS_CD'!H59*Factores!$B$7</f>
        <v>834.9441</v>
      </c>
      <c r="I61" s="523"/>
      <c r="J61" s="630"/>
      <c r="K61" s="630"/>
      <c r="L61" s="630"/>
      <c r="T61" s="629">
        <v>350</v>
      </c>
      <c r="U61" s="629">
        <v>466</v>
      </c>
      <c r="V61" s="629">
        <f t="shared" si="3"/>
        <v>1</v>
      </c>
      <c r="W61" s="629">
        <f t="shared" si="4"/>
        <v>1</v>
      </c>
    </row>
    <row r="62" spans="1:23" ht="12.75">
      <c r="A62" s="634"/>
      <c r="B62" s="643"/>
      <c r="C62" s="644"/>
      <c r="D62" s="643"/>
      <c r="E62" s="645"/>
      <c r="F62" s="642" t="s">
        <v>56</v>
      </c>
      <c r="G62" s="843">
        <f>'Resolución 137-2019-OS_CD'!G60*Factores!$B$7</f>
        <v>446.4546</v>
      </c>
      <c r="H62" s="843">
        <f>'Resolución 137-2019-OS_CD'!H60*Factores!$B$7</f>
        <v>583.3509</v>
      </c>
      <c r="I62" s="523"/>
      <c r="J62" s="630"/>
      <c r="K62" s="630"/>
      <c r="L62" s="630"/>
      <c r="T62" s="629">
        <v>2216</v>
      </c>
      <c r="U62" s="629">
        <v>2333</v>
      </c>
      <c r="V62" s="629">
        <f t="shared" si="3"/>
        <v>1</v>
      </c>
      <c r="W62" s="629">
        <f t="shared" si="4"/>
        <v>1</v>
      </c>
    </row>
    <row r="63" spans="1:23" ht="12.75">
      <c r="A63" s="634"/>
      <c r="B63" s="643"/>
      <c r="C63" s="644"/>
      <c r="D63" s="643"/>
      <c r="E63" s="645"/>
      <c r="F63" s="642" t="s">
        <v>272</v>
      </c>
      <c r="G63" s="843">
        <f>'Resolución 137-2019-OS_CD'!G61*Factores!$B$7</f>
        <v>2769.9918000000002</v>
      </c>
      <c r="H63" s="843">
        <f>'Resolución 137-2019-OS_CD'!H61*Factores!$B$7</f>
        <v>2908.1214</v>
      </c>
      <c r="I63" s="523"/>
      <c r="J63" s="630"/>
      <c r="K63" s="630"/>
      <c r="L63" s="630"/>
      <c r="T63" s="629">
        <v>2539</v>
      </c>
      <c r="U63" s="629">
        <v>2738</v>
      </c>
      <c r="V63" s="629">
        <f t="shared" si="3"/>
        <v>1</v>
      </c>
      <c r="W63" s="629">
        <f t="shared" si="4"/>
        <v>1</v>
      </c>
    </row>
    <row r="64" spans="1:23" ht="12.75">
      <c r="A64" s="634"/>
      <c r="B64" s="643"/>
      <c r="C64" s="650" t="s">
        <v>23</v>
      </c>
      <c r="D64" s="640" t="s">
        <v>24</v>
      </c>
      <c r="E64" s="641" t="s">
        <v>25</v>
      </c>
      <c r="F64" s="653" t="s">
        <v>273</v>
      </c>
      <c r="G64" s="843">
        <f>'Resolución 137-2019-OS_CD'!G62*Factores!$B$8</f>
        <v>3545.9543999999996</v>
      </c>
      <c r="H64" s="843">
        <f>'Resolución 137-2019-OS_CD'!H62*Factores!$B$8</f>
        <v>3897.7047999999995</v>
      </c>
      <c r="I64" s="523"/>
      <c r="J64" s="630"/>
      <c r="K64" s="630"/>
      <c r="L64" s="630"/>
      <c r="T64" s="629">
        <v>3061</v>
      </c>
      <c r="U64" s="629">
        <v>2972</v>
      </c>
      <c r="V64" s="629">
        <f t="shared" si="3"/>
        <v>1</v>
      </c>
      <c r="W64" s="629">
        <f t="shared" si="4"/>
        <v>1</v>
      </c>
    </row>
    <row r="65" spans="1:23" ht="12.75">
      <c r="A65" s="634"/>
      <c r="B65" s="643"/>
      <c r="C65" s="650" t="s">
        <v>26</v>
      </c>
      <c r="D65" s="640" t="s">
        <v>27</v>
      </c>
      <c r="E65" s="641" t="s">
        <v>28</v>
      </c>
      <c r="F65" s="642" t="s">
        <v>272</v>
      </c>
      <c r="G65" s="843">
        <f>'Resolución 137-2019-OS_CD'!G63*Factores!$B$8</f>
        <v>3799.4215999999997</v>
      </c>
      <c r="H65" s="843">
        <f>'Resolución 137-2019-OS_CD'!H63*Factores!$B$8</f>
        <v>4283.078399999999</v>
      </c>
      <c r="I65" s="523"/>
      <c r="J65" s="630"/>
      <c r="K65" s="630"/>
      <c r="L65" s="630"/>
      <c r="U65" s="629">
        <v>3836</v>
      </c>
      <c r="V65" s="629">
        <f t="shared" si="3"/>
        <v>0</v>
      </c>
      <c r="W65" s="629">
        <f t="shared" si="4"/>
        <v>1</v>
      </c>
    </row>
    <row r="66" spans="1:23" ht="12.75">
      <c r="A66" s="634"/>
      <c r="B66" s="643"/>
      <c r="C66" s="644"/>
      <c r="D66" s="651" t="s">
        <v>29</v>
      </c>
      <c r="E66" s="652" t="s">
        <v>30</v>
      </c>
      <c r="F66" s="642" t="s">
        <v>272</v>
      </c>
      <c r="G66" s="843"/>
      <c r="H66" s="843">
        <f>'Resolución 137-2019-OS_CD'!H64*Factores!$B$8</f>
        <v>5523.2572</v>
      </c>
      <c r="I66" s="523"/>
      <c r="J66" s="630"/>
      <c r="K66" s="630"/>
      <c r="L66" s="630"/>
      <c r="U66" s="629">
        <v>5294</v>
      </c>
      <c r="V66" s="629">
        <f t="shared" si="3"/>
        <v>0</v>
      </c>
      <c r="W66" s="629">
        <f t="shared" si="4"/>
        <v>1</v>
      </c>
    </row>
    <row r="67" spans="1:25" ht="12.75">
      <c r="A67" s="634"/>
      <c r="B67" s="643"/>
      <c r="C67" s="644"/>
      <c r="D67" s="651" t="s">
        <v>31</v>
      </c>
      <c r="E67" s="652" t="s">
        <v>32</v>
      </c>
      <c r="F67" s="642" t="s">
        <v>272</v>
      </c>
      <c r="G67" s="843"/>
      <c r="H67" s="843">
        <f>'Resolución 137-2019-OS_CD'!H65*Factores!$B$8</f>
        <v>7729.456399999999</v>
      </c>
      <c r="I67" s="523"/>
      <c r="J67" s="630"/>
      <c r="K67" s="630"/>
      <c r="L67" s="630"/>
      <c r="U67" s="629">
        <v>5837</v>
      </c>
      <c r="V67" s="629">
        <f t="shared" si="3"/>
        <v>0</v>
      </c>
      <c r="W67" s="629">
        <f t="shared" si="4"/>
        <v>1</v>
      </c>
      <c r="X67" s="667">
        <f>+SUM(V55:W67)</f>
        <v>23</v>
      </c>
      <c r="Y67" s="629" t="b">
        <f>+IF(X67=0,"ok")</f>
        <v>0</v>
      </c>
    </row>
    <row r="68" spans="1:12" ht="12.75">
      <c r="A68" s="634"/>
      <c r="B68" s="647"/>
      <c r="C68" s="654"/>
      <c r="D68" s="655" t="s">
        <v>33</v>
      </c>
      <c r="E68" s="656" t="s">
        <v>34</v>
      </c>
      <c r="F68" s="642" t="s">
        <v>272</v>
      </c>
      <c r="G68" s="843"/>
      <c r="H68" s="843">
        <f>'Resolución 137-2019-OS_CD'!H66*Factores!$B$8</f>
        <v>8470.46</v>
      </c>
      <c r="I68" s="523"/>
      <c r="J68" s="630"/>
      <c r="K68" s="630"/>
      <c r="L68" s="630"/>
    </row>
    <row r="69" spans="1:12" ht="12.75">
      <c r="A69" s="634"/>
      <c r="B69" s="523" t="s">
        <v>283</v>
      </c>
      <c r="C69" s="523"/>
      <c r="D69" s="523"/>
      <c r="E69" s="523"/>
      <c r="F69" s="523"/>
      <c r="G69" s="523"/>
      <c r="H69" s="523"/>
      <c r="I69" s="523"/>
      <c r="J69" s="630"/>
      <c r="K69" s="630"/>
      <c r="L69" s="630"/>
    </row>
    <row r="70" spans="1:12" ht="12.75">
      <c r="A70" s="634"/>
      <c r="B70" s="523" t="s">
        <v>284</v>
      </c>
      <c r="C70" s="523"/>
      <c r="D70" s="523"/>
      <c r="E70" s="523"/>
      <c r="F70" s="523"/>
      <c r="G70" s="523"/>
      <c r="H70" s="523"/>
      <c r="I70" s="523"/>
      <c r="J70" s="630"/>
      <c r="K70" s="630"/>
      <c r="L70" s="630"/>
    </row>
    <row r="71" spans="1:12" ht="12.75">
      <c r="A71" s="634"/>
      <c r="B71" s="523"/>
      <c r="C71" s="523"/>
      <c r="D71" s="523"/>
      <c r="E71" s="523"/>
      <c r="F71" s="523"/>
      <c r="G71" s="523"/>
      <c r="H71" s="523"/>
      <c r="I71" s="523"/>
      <c r="J71" s="630"/>
      <c r="K71" s="630"/>
      <c r="L71" s="630"/>
    </row>
    <row r="72" spans="1:12" ht="12.75">
      <c r="A72" s="634"/>
      <c r="B72" s="523"/>
      <c r="C72" s="523"/>
      <c r="D72" s="523"/>
      <c r="E72" s="523"/>
      <c r="F72" s="523"/>
      <c r="G72" s="523"/>
      <c r="H72" s="523"/>
      <c r="I72" s="523"/>
      <c r="J72" s="630"/>
      <c r="K72" s="630"/>
      <c r="L72" s="630"/>
    </row>
    <row r="73" spans="1:12" ht="15.75">
      <c r="A73" s="634"/>
      <c r="B73" s="632" t="s">
        <v>286</v>
      </c>
      <c r="C73" s="523"/>
      <c r="D73" s="633"/>
      <c r="E73" s="633"/>
      <c r="F73" s="633"/>
      <c r="G73" s="633"/>
      <c r="H73" s="633"/>
      <c r="I73" s="523"/>
      <c r="J73" s="630"/>
      <c r="K73" s="630"/>
      <c r="L73" s="630"/>
    </row>
    <row r="74" spans="1:23" ht="12.75">
      <c r="A74" s="634"/>
      <c r="B74" s="523"/>
      <c r="C74" s="523"/>
      <c r="D74" s="523"/>
      <c r="E74" s="523"/>
      <c r="F74" s="523"/>
      <c r="G74" s="523"/>
      <c r="H74" s="523"/>
      <c r="I74" s="523"/>
      <c r="J74" s="630"/>
      <c r="K74" s="630"/>
      <c r="L74" s="630"/>
      <c r="T74" s="629">
        <v>334</v>
      </c>
      <c r="U74" s="629">
        <v>93</v>
      </c>
      <c r="V74" s="629">
        <f>+IF(T74=G77,0,1)</f>
        <v>1</v>
      </c>
      <c r="W74" s="629">
        <f>+IF(U74=H77,0,1)</f>
        <v>1</v>
      </c>
    </row>
    <row r="75" spans="1:25" ht="12.75">
      <c r="A75" s="634"/>
      <c r="B75" s="635" t="s">
        <v>6</v>
      </c>
      <c r="C75" s="635" t="s">
        <v>3</v>
      </c>
      <c r="D75" s="635" t="s">
        <v>4</v>
      </c>
      <c r="E75" s="635" t="s">
        <v>7</v>
      </c>
      <c r="F75" s="635" t="s">
        <v>49</v>
      </c>
      <c r="G75" s="635" t="s">
        <v>89</v>
      </c>
      <c r="H75" s="635" t="s">
        <v>305</v>
      </c>
      <c r="I75" s="523"/>
      <c r="J75" s="630"/>
      <c r="K75" s="630"/>
      <c r="L75" s="630"/>
      <c r="T75" s="629">
        <v>363</v>
      </c>
      <c r="U75" s="629">
        <v>166</v>
      </c>
      <c r="V75" s="629">
        <f>+IF(T75=G78,0,1)</f>
        <v>1</v>
      </c>
      <c r="W75" s="629">
        <f>+IF(U75=H78,0,1)</f>
        <v>1</v>
      </c>
      <c r="X75" s="665">
        <f>+SUM(V74:W75)</f>
        <v>4</v>
      </c>
      <c r="Y75" s="629" t="b">
        <f>+IF(X75=0,"ok")</f>
        <v>0</v>
      </c>
    </row>
    <row r="76" spans="1:12" ht="12.75">
      <c r="A76" s="634"/>
      <c r="B76" s="658"/>
      <c r="C76" s="658"/>
      <c r="D76" s="658"/>
      <c r="E76" s="658" t="s">
        <v>86</v>
      </c>
      <c r="F76" s="658" t="s">
        <v>304</v>
      </c>
      <c r="G76" s="658"/>
      <c r="H76" s="659" t="s">
        <v>280</v>
      </c>
      <c r="I76" s="523"/>
      <c r="J76" s="630"/>
      <c r="K76" s="630"/>
      <c r="L76" s="630"/>
    </row>
    <row r="77" spans="1:12" ht="12.75">
      <c r="A77" s="634"/>
      <c r="B77" s="640" t="s">
        <v>18</v>
      </c>
      <c r="C77" s="640" t="s">
        <v>16</v>
      </c>
      <c r="D77" s="663" t="s">
        <v>17</v>
      </c>
      <c r="E77" s="664" t="s">
        <v>19</v>
      </c>
      <c r="F77" s="663" t="s">
        <v>60</v>
      </c>
      <c r="G77" s="844">
        <f>'Resolución 137-2019-OS_CD'!G75*Factores!$B$7</f>
        <v>406.98900000000003</v>
      </c>
      <c r="H77" s="844">
        <f>'Resolución 137-2019-OS_CD'!H75*Factores!$B$7</f>
        <v>128.2632</v>
      </c>
      <c r="I77" s="523"/>
      <c r="J77" s="630"/>
      <c r="K77" s="630"/>
      <c r="L77" s="630"/>
    </row>
    <row r="78" spans="1:12" ht="12.75">
      <c r="A78" s="634"/>
      <c r="B78" s="647"/>
      <c r="C78" s="647"/>
      <c r="D78" s="663" t="s">
        <v>21</v>
      </c>
      <c r="E78" s="666" t="s">
        <v>22</v>
      </c>
      <c r="F78" s="663" t="s">
        <v>60</v>
      </c>
      <c r="G78" s="844">
        <f>'Resolución 137-2019-OS_CD'!G76*Factores!$B$7</f>
        <v>410.68890000000005</v>
      </c>
      <c r="H78" s="844">
        <f>'Resolución 137-2019-OS_CD'!H76*Factores!$B$7</f>
        <v>284.89230000000003</v>
      </c>
      <c r="I78" s="523"/>
      <c r="J78" s="630"/>
      <c r="K78" s="630"/>
      <c r="L78" s="630"/>
    </row>
    <row r="79" spans="1:12" ht="12.75" customHeight="1">
      <c r="A79" s="634"/>
      <c r="B79" s="523" t="s">
        <v>281</v>
      </c>
      <c r="C79" s="523"/>
      <c r="D79" s="523"/>
      <c r="E79" s="523"/>
      <c r="F79" s="523"/>
      <c r="G79" s="845"/>
      <c r="H79" s="845"/>
      <c r="I79" s="523"/>
      <c r="J79" s="630"/>
      <c r="K79" s="630"/>
      <c r="L79" s="630"/>
    </row>
    <row r="80" spans="1:12" ht="12.75" customHeight="1">
      <c r="A80" s="634"/>
      <c r="B80" s="523"/>
      <c r="C80" s="523"/>
      <c r="D80" s="523"/>
      <c r="E80" s="523"/>
      <c r="F80" s="523"/>
      <c r="G80" s="845"/>
      <c r="H80" s="845"/>
      <c r="I80" s="523"/>
      <c r="J80" s="630"/>
      <c r="K80" s="630"/>
      <c r="L80" s="630"/>
    </row>
    <row r="81" spans="1:12" ht="12.75">
      <c r="A81" s="634"/>
      <c r="B81" s="630"/>
      <c r="C81" s="630"/>
      <c r="D81" s="630"/>
      <c r="E81" s="630"/>
      <c r="F81" s="630"/>
      <c r="G81" s="630"/>
      <c r="H81" s="630"/>
      <c r="I81" s="523"/>
      <c r="J81" s="630"/>
      <c r="K81" s="630"/>
      <c r="L81" s="630"/>
    </row>
    <row r="82" spans="1:12" ht="15.75">
      <c r="A82" s="634"/>
      <c r="B82" s="632" t="s">
        <v>287</v>
      </c>
      <c r="C82" s="668"/>
      <c r="D82" s="668"/>
      <c r="E82" s="668"/>
      <c r="F82" s="668"/>
      <c r="G82" s="668"/>
      <c r="H82" s="668"/>
      <c r="I82" s="523"/>
      <c r="J82" s="630"/>
      <c r="K82" s="630"/>
      <c r="L82" s="630"/>
    </row>
    <row r="83" spans="1:12" ht="12.75">
      <c r="A83" s="634"/>
      <c r="B83" s="668"/>
      <c r="C83" s="668"/>
      <c r="D83" s="633"/>
      <c r="E83" s="633"/>
      <c r="F83" s="633"/>
      <c r="G83" s="633"/>
      <c r="H83" s="633"/>
      <c r="I83" s="630"/>
      <c r="J83" s="630"/>
      <c r="K83" s="630"/>
      <c r="L83" s="630"/>
    </row>
    <row r="84" spans="2:12" ht="12.75">
      <c r="B84" s="635" t="s">
        <v>6</v>
      </c>
      <c r="C84" s="635" t="s">
        <v>3</v>
      </c>
      <c r="D84" s="669" t="s">
        <v>4</v>
      </c>
      <c r="E84" s="635" t="s">
        <v>7</v>
      </c>
      <c r="F84" s="635" t="s">
        <v>49</v>
      </c>
      <c r="G84" s="669" t="s">
        <v>1</v>
      </c>
      <c r="H84" s="635" t="s">
        <v>2</v>
      </c>
      <c r="I84" s="630"/>
      <c r="J84" s="630"/>
      <c r="K84" s="630"/>
      <c r="L84" s="630"/>
    </row>
    <row r="85" spans="2:23" ht="12.75">
      <c r="B85" s="658"/>
      <c r="C85" s="658"/>
      <c r="D85" s="670"/>
      <c r="E85" s="658" t="s">
        <v>86</v>
      </c>
      <c r="F85" s="658" t="s">
        <v>304</v>
      </c>
      <c r="G85" s="671" t="s">
        <v>274</v>
      </c>
      <c r="H85" s="639" t="s">
        <v>275</v>
      </c>
      <c r="I85" s="630"/>
      <c r="J85" s="630"/>
      <c r="K85" s="630"/>
      <c r="L85" s="630"/>
      <c r="T85" s="629">
        <v>565</v>
      </c>
      <c r="U85" s="629">
        <v>670</v>
      </c>
      <c r="V85" s="629">
        <f aca="true" t="shared" si="5" ref="V85:W90">+IF(T85=G86,0,1)</f>
        <v>1</v>
      </c>
      <c r="W85" s="629">
        <f t="shared" si="5"/>
        <v>1</v>
      </c>
    </row>
    <row r="86" spans="2:23" ht="12.75">
      <c r="B86" s="640" t="s">
        <v>11</v>
      </c>
      <c r="C86" s="672" t="s">
        <v>9</v>
      </c>
      <c r="D86" s="673" t="s">
        <v>10</v>
      </c>
      <c r="E86" s="641" t="s">
        <v>12</v>
      </c>
      <c r="F86" s="642" t="s">
        <v>149</v>
      </c>
      <c r="G86" s="843">
        <f>+'Resolución 137-2019-OS_CD'!G84*Factores!$B$7</f>
        <v>731.3469</v>
      </c>
      <c r="H86" s="843">
        <f>+'Resolución 137-2019-OS_CD'!H84*Factores!$B$7</f>
        <v>871.9431000000001</v>
      </c>
      <c r="I86" s="630"/>
      <c r="J86" s="630"/>
      <c r="K86" s="630"/>
      <c r="L86" s="630"/>
      <c r="T86" s="629">
        <v>619</v>
      </c>
      <c r="V86" s="629">
        <f t="shared" si="5"/>
        <v>1</v>
      </c>
      <c r="W86" s="629">
        <f t="shared" si="5"/>
        <v>0</v>
      </c>
    </row>
    <row r="87" spans="2:23" ht="12.75">
      <c r="B87" s="643"/>
      <c r="C87" s="674"/>
      <c r="D87" s="675"/>
      <c r="E87" s="645"/>
      <c r="F87" s="642" t="s">
        <v>288</v>
      </c>
      <c r="G87" s="843">
        <f>+'Resolución 137-2019-OS_CD'!G85*Factores!$B$7</f>
        <v>781.9122</v>
      </c>
      <c r="H87" s="843"/>
      <c r="I87" s="630"/>
      <c r="J87" s="630"/>
      <c r="K87" s="630"/>
      <c r="L87" s="630"/>
      <c r="T87" s="629">
        <v>785</v>
      </c>
      <c r="U87" s="629">
        <v>694</v>
      </c>
      <c r="V87" s="629">
        <f t="shared" si="5"/>
        <v>1</v>
      </c>
      <c r="W87" s="629">
        <f t="shared" si="5"/>
        <v>1</v>
      </c>
    </row>
    <row r="88" spans="2:23" ht="12.75">
      <c r="B88" s="643"/>
      <c r="C88" s="674"/>
      <c r="D88" s="675"/>
      <c r="E88" s="645"/>
      <c r="F88" s="642" t="s">
        <v>150</v>
      </c>
      <c r="G88" s="843">
        <f>+'Resolución 137-2019-OS_CD'!G86*Factores!$B$7</f>
        <v>1017.4725000000001</v>
      </c>
      <c r="H88" s="843">
        <f>+'Resolución 137-2019-OS_CD'!H86*Factores!$B$7</f>
        <v>876.8763</v>
      </c>
      <c r="I88" s="630"/>
      <c r="J88" s="630"/>
      <c r="K88" s="630"/>
      <c r="L88" s="630"/>
      <c r="T88" s="629">
        <v>840</v>
      </c>
      <c r="V88" s="629">
        <f t="shared" si="5"/>
        <v>1</v>
      </c>
      <c r="W88" s="629">
        <f t="shared" si="5"/>
        <v>0</v>
      </c>
    </row>
    <row r="89" spans="2:23" ht="12.75">
      <c r="B89" s="643"/>
      <c r="C89" s="674"/>
      <c r="D89" s="675"/>
      <c r="E89" s="645"/>
      <c r="F89" s="642" t="s">
        <v>289</v>
      </c>
      <c r="G89" s="843">
        <f>+'Resolución 137-2019-OS_CD'!G87*Factores!$B$7</f>
        <v>1068.0378</v>
      </c>
      <c r="H89" s="843"/>
      <c r="I89" s="630"/>
      <c r="J89" s="630"/>
      <c r="K89" s="630"/>
      <c r="L89" s="630"/>
      <c r="T89" s="629">
        <v>618</v>
      </c>
      <c r="U89" s="629">
        <v>674</v>
      </c>
      <c r="V89" s="629">
        <f t="shared" si="5"/>
        <v>1</v>
      </c>
      <c r="W89" s="629">
        <f t="shared" si="5"/>
        <v>1</v>
      </c>
    </row>
    <row r="90" spans="2:25" ht="12.75">
      <c r="B90" s="643"/>
      <c r="C90" s="674"/>
      <c r="D90" s="673" t="s">
        <v>14</v>
      </c>
      <c r="E90" s="641" t="s">
        <v>15</v>
      </c>
      <c r="F90" s="642" t="s">
        <v>149</v>
      </c>
      <c r="G90" s="843">
        <f>+'Resolución 137-2019-OS_CD'!G88*Factores!$B$7</f>
        <v>762.1794</v>
      </c>
      <c r="H90" s="843">
        <f>+'Resolución 137-2019-OS_CD'!H88*Factores!$B$7</f>
        <v>878.1096</v>
      </c>
      <c r="I90" s="630"/>
      <c r="J90" s="630"/>
      <c r="K90" s="630"/>
      <c r="L90" s="630"/>
      <c r="T90" s="629">
        <v>839</v>
      </c>
      <c r="U90" s="629">
        <v>717</v>
      </c>
      <c r="V90" s="629">
        <f t="shared" si="5"/>
        <v>1</v>
      </c>
      <c r="W90" s="629">
        <f t="shared" si="5"/>
        <v>1</v>
      </c>
      <c r="X90" s="629">
        <f>+SUM(V85:W90)</f>
        <v>10</v>
      </c>
      <c r="Y90" s="629" t="b">
        <f>+IF(X90=0,"ok")</f>
        <v>0</v>
      </c>
    </row>
    <row r="91" spans="2:12" ht="12.75">
      <c r="B91" s="647"/>
      <c r="C91" s="676"/>
      <c r="D91" s="677"/>
      <c r="E91" s="662"/>
      <c r="F91" s="642" t="s">
        <v>150</v>
      </c>
      <c r="G91" s="843">
        <f>+'Resolución 137-2019-OS_CD'!G89*Factores!$B$7</f>
        <v>1049.5383000000002</v>
      </c>
      <c r="H91" s="843">
        <f>+'Resolución 137-2019-OS_CD'!H89*Factores!$B$7</f>
        <v>894.1425</v>
      </c>
      <c r="I91" s="630"/>
      <c r="J91" s="630"/>
      <c r="K91" s="630"/>
      <c r="L91" s="630"/>
    </row>
    <row r="92" spans="2:12" ht="12.75">
      <c r="B92" s="668" t="s">
        <v>276</v>
      </c>
      <c r="C92" s="668"/>
      <c r="D92" s="668"/>
      <c r="E92" s="668"/>
      <c r="F92" s="668"/>
      <c r="G92" s="668"/>
      <c r="H92" s="668"/>
      <c r="I92" s="630"/>
      <c r="J92" s="630"/>
      <c r="K92" s="630"/>
      <c r="L92" s="630"/>
    </row>
    <row r="93" spans="2:12" ht="12.75">
      <c r="B93" s="668" t="s">
        <v>277</v>
      </c>
      <c r="C93" s="668"/>
      <c r="D93" s="668"/>
      <c r="E93" s="668"/>
      <c r="F93" s="668"/>
      <c r="G93" s="668"/>
      <c r="H93" s="668"/>
      <c r="I93" s="630"/>
      <c r="J93" s="630"/>
      <c r="K93" s="630"/>
      <c r="L93" s="630"/>
    </row>
    <row r="94" spans="2:12" ht="12.75">
      <c r="B94" s="633" t="s">
        <v>278</v>
      </c>
      <c r="C94" s="633"/>
      <c r="D94" s="633"/>
      <c r="E94" s="633"/>
      <c r="F94" s="633"/>
      <c r="G94" s="633"/>
      <c r="H94" s="633"/>
      <c r="I94" s="630"/>
      <c r="J94" s="630"/>
      <c r="K94" s="630"/>
      <c r="L94" s="630"/>
    </row>
    <row r="95" spans="2:12" ht="12.75">
      <c r="B95" s="633"/>
      <c r="C95" s="633"/>
      <c r="D95" s="633"/>
      <c r="E95" s="633"/>
      <c r="F95" s="633"/>
      <c r="G95" s="633"/>
      <c r="H95" s="633"/>
      <c r="I95" s="630"/>
      <c r="J95" s="630"/>
      <c r="K95" s="630"/>
      <c r="L95" s="630"/>
    </row>
    <row r="96" spans="2:12" ht="12.75">
      <c r="B96" s="633"/>
      <c r="C96" s="633"/>
      <c r="D96" s="633"/>
      <c r="E96" s="633"/>
      <c r="F96" s="633"/>
      <c r="G96" s="633"/>
      <c r="H96" s="633"/>
      <c r="I96" s="630"/>
      <c r="J96" s="630"/>
      <c r="K96" s="630"/>
      <c r="L96" s="630"/>
    </row>
    <row r="97" spans="2:12" ht="15.75">
      <c r="B97" s="632" t="s">
        <v>316</v>
      </c>
      <c r="C97" s="678"/>
      <c r="D97" s="678"/>
      <c r="E97" s="678"/>
      <c r="F97" s="678"/>
      <c r="G97" s="633"/>
      <c r="H97" s="630"/>
      <c r="I97" s="630"/>
      <c r="J97" s="630"/>
      <c r="K97" s="630"/>
      <c r="L97" s="630"/>
    </row>
    <row r="98" spans="2:12" ht="12.75">
      <c r="B98" s="678"/>
      <c r="C98" s="678"/>
      <c r="D98" s="633"/>
      <c r="E98" s="633"/>
      <c r="F98" s="633"/>
      <c r="G98" s="678"/>
      <c r="H98" s="630"/>
      <c r="I98" s="630"/>
      <c r="J98" s="630"/>
      <c r="K98" s="630"/>
      <c r="L98" s="630"/>
    </row>
    <row r="99" spans="2:12" ht="12.75">
      <c r="B99" s="635" t="s">
        <v>6</v>
      </c>
      <c r="C99" s="635" t="s">
        <v>3</v>
      </c>
      <c r="D99" s="669" t="s">
        <v>4</v>
      </c>
      <c r="E99" s="635" t="s">
        <v>7</v>
      </c>
      <c r="F99" s="635" t="s">
        <v>49</v>
      </c>
      <c r="G99" s="635" t="s">
        <v>93</v>
      </c>
      <c r="H99" s="630"/>
      <c r="I99" s="630"/>
      <c r="J99" s="630"/>
      <c r="K99" s="630"/>
      <c r="L99" s="630"/>
    </row>
    <row r="100" spans="2:12" ht="12.75">
      <c r="B100" s="658"/>
      <c r="C100" s="658"/>
      <c r="D100" s="670"/>
      <c r="E100" s="658" t="s">
        <v>86</v>
      </c>
      <c r="F100" s="658" t="s">
        <v>51</v>
      </c>
      <c r="G100" s="658"/>
      <c r="H100" s="630"/>
      <c r="I100" s="630"/>
      <c r="J100" s="630"/>
      <c r="K100" s="630"/>
      <c r="L100" s="630"/>
    </row>
    <row r="101" spans="2:12" ht="12.75">
      <c r="B101" s="640" t="s">
        <v>11</v>
      </c>
      <c r="C101" s="672" t="s">
        <v>9</v>
      </c>
      <c r="D101" s="673" t="s">
        <v>10</v>
      </c>
      <c r="E101" s="641" t="s">
        <v>12</v>
      </c>
      <c r="F101" s="642" t="s">
        <v>58</v>
      </c>
      <c r="G101" s="843">
        <f>'Resolución 137-2019-OS_CD'!G100*Factores!$B$15</f>
        <v>5.7148</v>
      </c>
      <c r="H101" s="630"/>
      <c r="I101" s="630"/>
      <c r="J101" s="630"/>
      <c r="K101" s="630"/>
      <c r="L101" s="630"/>
    </row>
    <row r="102" spans="2:12" ht="12.75">
      <c r="B102" s="647"/>
      <c r="C102" s="676"/>
      <c r="D102" s="679" t="s">
        <v>14</v>
      </c>
      <c r="E102" s="666" t="s">
        <v>15</v>
      </c>
      <c r="F102" s="642" t="s">
        <v>58</v>
      </c>
      <c r="G102" s="843">
        <f>'Resolución 137-2019-OS_CD'!G101*Factores!$B$15</f>
        <v>7.1435</v>
      </c>
      <c r="H102" s="630"/>
      <c r="I102" s="630"/>
      <c r="J102" s="630"/>
      <c r="K102" s="630"/>
      <c r="L102" s="630"/>
    </row>
    <row r="103" spans="2:12" ht="12.75">
      <c r="B103" s="644"/>
      <c r="C103" s="644"/>
      <c r="D103" s="644"/>
      <c r="E103" s="748"/>
      <c r="F103" s="689"/>
      <c r="G103" s="854"/>
      <c r="H103" s="630"/>
      <c r="I103" s="630"/>
      <c r="J103" s="630"/>
      <c r="K103" s="630"/>
      <c r="L103" s="630"/>
    </row>
    <row r="104" spans="2:12" ht="12.75">
      <c r="B104" s="644"/>
      <c r="C104" s="644"/>
      <c r="D104" s="644"/>
      <c r="E104" s="748"/>
      <c r="F104" s="689"/>
      <c r="G104" s="854"/>
      <c r="H104" s="630"/>
      <c r="I104" s="630"/>
      <c r="J104" s="630"/>
      <c r="K104" s="630"/>
      <c r="L104" s="630"/>
    </row>
    <row r="105" spans="2:12" ht="15.75">
      <c r="B105" s="632" t="s">
        <v>290</v>
      </c>
      <c r="C105" s="630"/>
      <c r="D105" s="633"/>
      <c r="E105" s="633"/>
      <c r="F105" s="633"/>
      <c r="G105" s="633"/>
      <c r="H105" s="633"/>
      <c r="I105" s="633"/>
      <c r="J105" s="633"/>
      <c r="K105" s="633"/>
      <c r="L105" s="633"/>
    </row>
    <row r="106" spans="2:12" ht="12.75">
      <c r="B106" s="633"/>
      <c r="C106" s="633"/>
      <c r="D106" s="633"/>
      <c r="E106" s="633"/>
      <c r="F106" s="633"/>
      <c r="G106" s="680" t="s">
        <v>98</v>
      </c>
      <c r="H106" s="681"/>
      <c r="I106" s="682" t="s">
        <v>99</v>
      </c>
      <c r="J106" s="681"/>
      <c r="K106" s="682" t="s">
        <v>245</v>
      </c>
      <c r="L106" s="681"/>
    </row>
    <row r="107" spans="2:12" ht="12.75">
      <c r="B107" s="635" t="s">
        <v>6</v>
      </c>
      <c r="C107" s="635" t="s">
        <v>3</v>
      </c>
      <c r="D107" s="669" t="s">
        <v>4</v>
      </c>
      <c r="E107" s="635" t="s">
        <v>7</v>
      </c>
      <c r="F107" s="669" t="s">
        <v>49</v>
      </c>
      <c r="G107" s="635" t="s">
        <v>35</v>
      </c>
      <c r="H107" s="635" t="s">
        <v>36</v>
      </c>
      <c r="I107" s="635" t="s">
        <v>35</v>
      </c>
      <c r="J107" s="635" t="s">
        <v>36</v>
      </c>
      <c r="K107" s="635" t="s">
        <v>35</v>
      </c>
      <c r="L107" s="635" t="s">
        <v>36</v>
      </c>
    </row>
    <row r="108" spans="2:12" ht="12.75">
      <c r="B108" s="683"/>
      <c r="C108" s="683"/>
      <c r="D108" s="684"/>
      <c r="E108" s="685" t="s">
        <v>86</v>
      </c>
      <c r="F108" s="686" t="s">
        <v>51</v>
      </c>
      <c r="G108" s="846"/>
      <c r="H108" s="846"/>
      <c r="I108" s="846"/>
      <c r="J108" s="846"/>
      <c r="K108" s="846"/>
      <c r="L108" s="846"/>
    </row>
    <row r="109" spans="2:31" ht="12.75">
      <c r="B109" s="640" t="s">
        <v>18</v>
      </c>
      <c r="C109" s="640" t="s">
        <v>37</v>
      </c>
      <c r="D109" s="650" t="s">
        <v>38</v>
      </c>
      <c r="E109" s="641" t="s">
        <v>39</v>
      </c>
      <c r="F109" s="660" t="s">
        <v>291</v>
      </c>
      <c r="G109" s="843">
        <f>'Resolución 137-2019-OS_CD'!G109*Factores!$B$9</f>
        <v>11899.177500000002</v>
      </c>
      <c r="H109" s="843">
        <f>'Resolución 137-2019-OS_CD'!H109*Factores!$B$9</f>
        <v>20336.5592</v>
      </c>
      <c r="I109" s="843">
        <f>'Resolución 137-2019-OS_CD'!I109*Factores!$B$9</f>
        <v>14597.517300000001</v>
      </c>
      <c r="J109" s="843">
        <f>'Resolución 137-2019-OS_CD'!J109*Factores!$B$9</f>
        <v>26567.0759</v>
      </c>
      <c r="K109" s="843">
        <f>'Resolución 137-2019-OS_CD'!K109*Factores!$B$9</f>
        <v>16415.496900000002</v>
      </c>
      <c r="L109" s="843">
        <f>'Resolución 137-2019-OS_CD'!L109*Factores!$B$9</f>
        <v>26605.2487</v>
      </c>
      <c r="T109" s="629">
        <v>8860</v>
      </c>
      <c r="U109" s="629">
        <v>14422</v>
      </c>
      <c r="V109" s="629">
        <v>9721</v>
      </c>
      <c r="W109" s="629">
        <v>18728</v>
      </c>
      <c r="X109" s="629">
        <v>10825</v>
      </c>
      <c r="Y109" s="629">
        <v>18755</v>
      </c>
      <c r="AA109" s="629">
        <f aca="true" t="shared" si="6" ref="AA109:AE113">+IF(T109=G109,0,1)</f>
        <v>1</v>
      </c>
      <c r="AB109" s="629">
        <f t="shared" si="6"/>
        <v>1</v>
      </c>
      <c r="AC109" s="629">
        <f t="shared" si="6"/>
        <v>1</v>
      </c>
      <c r="AD109" s="629">
        <f t="shared" si="6"/>
        <v>1</v>
      </c>
      <c r="AE109" s="629">
        <f t="shared" si="6"/>
        <v>1</v>
      </c>
    </row>
    <row r="110" spans="2:31" ht="12.75">
      <c r="B110" s="643"/>
      <c r="C110" s="643"/>
      <c r="D110" s="650" t="s">
        <v>41</v>
      </c>
      <c r="E110" s="641" t="s">
        <v>42</v>
      </c>
      <c r="F110" s="660" t="s">
        <v>291</v>
      </c>
      <c r="G110" s="843">
        <f>'Resolución 137-2019-OS_CD'!G110*Factores!$B$9</f>
        <v>15913.286</v>
      </c>
      <c r="H110" s="843">
        <f>'Resolución 137-2019-OS_CD'!H110*Factores!$B$9</f>
        <v>18295.5073</v>
      </c>
      <c r="I110" s="843">
        <f>'Resolución 137-2019-OS_CD'!I110*Factores!$B$9</f>
        <v>14684.599</v>
      </c>
      <c r="J110" s="843">
        <f>'Resolución 137-2019-OS_CD'!J110*Factores!$B$9</f>
        <v>23853.2284</v>
      </c>
      <c r="K110" s="843">
        <f>'Resolución 137-2019-OS_CD'!K110*Factores!$B$9</f>
        <v>16415.496900000002</v>
      </c>
      <c r="L110" s="843">
        <f>'Resolución 137-2019-OS_CD'!L110*Factores!$B$9</f>
        <v>26605.2487</v>
      </c>
      <c r="T110" s="629">
        <v>9603</v>
      </c>
      <c r="U110" s="629">
        <v>13012</v>
      </c>
      <c r="V110" s="629">
        <v>9774</v>
      </c>
      <c r="W110" s="629">
        <v>16853</v>
      </c>
      <c r="X110" s="629">
        <v>10825</v>
      </c>
      <c r="Y110" s="629">
        <v>18755</v>
      </c>
      <c r="AA110" s="629">
        <f t="shared" si="6"/>
        <v>1</v>
      </c>
      <c r="AB110" s="629">
        <f t="shared" si="6"/>
        <v>1</v>
      </c>
      <c r="AC110" s="629">
        <f t="shared" si="6"/>
        <v>1</v>
      </c>
      <c r="AD110" s="629">
        <f t="shared" si="6"/>
        <v>1</v>
      </c>
      <c r="AE110" s="629">
        <f t="shared" si="6"/>
        <v>1</v>
      </c>
    </row>
    <row r="111" spans="2:31" ht="12.75">
      <c r="B111" s="643"/>
      <c r="C111" s="643"/>
      <c r="D111" s="650" t="s">
        <v>43</v>
      </c>
      <c r="E111" s="641" t="s">
        <v>44</v>
      </c>
      <c r="F111" s="660" t="s">
        <v>291</v>
      </c>
      <c r="G111" s="843">
        <f>'Resolución 137-2019-OS_CD'!G111*Factores!$B$9</f>
        <v>14290.942000000001</v>
      </c>
      <c r="H111" s="843">
        <f>'Resolución 137-2019-OS_CD'!H111*Factores!$B$9</f>
        <v>17491.492700000003</v>
      </c>
      <c r="I111" s="843">
        <f>'Resolución 137-2019-OS_CD'!I111*Factores!$B$9</f>
        <v>15093.763700000001</v>
      </c>
      <c r="J111" s="843">
        <f>'Resolución 137-2019-OS_CD'!J111*Factores!$B$9</f>
        <v>22784.390000000003</v>
      </c>
      <c r="K111" s="843">
        <f>'Resolución 137-2019-OS_CD'!K111*Factores!$B$9</f>
        <v>17218.318600000002</v>
      </c>
      <c r="L111" s="843">
        <f>'Resolución 137-2019-OS_CD'!L111*Factores!$B$9</f>
        <v>29775.9769</v>
      </c>
      <c r="T111" s="629">
        <v>9522</v>
      </c>
      <c r="U111" s="629">
        <v>12456</v>
      </c>
      <c r="V111" s="629">
        <v>10022</v>
      </c>
      <c r="W111" s="629">
        <v>16114</v>
      </c>
      <c r="X111" s="629">
        <v>11313</v>
      </c>
      <c r="Y111" s="629">
        <v>20947</v>
      </c>
      <c r="AA111" s="629">
        <f t="shared" si="6"/>
        <v>1</v>
      </c>
      <c r="AB111" s="629">
        <f t="shared" si="6"/>
        <v>1</v>
      </c>
      <c r="AC111" s="629">
        <f t="shared" si="6"/>
        <v>1</v>
      </c>
      <c r="AD111" s="629">
        <f t="shared" si="6"/>
        <v>1</v>
      </c>
      <c r="AE111" s="629">
        <f t="shared" si="6"/>
        <v>1</v>
      </c>
    </row>
    <row r="112" spans="2:31" ht="12.75">
      <c r="B112" s="643"/>
      <c r="C112" s="643"/>
      <c r="D112" s="687" t="s">
        <v>45</v>
      </c>
      <c r="E112" s="641" t="s">
        <v>46</v>
      </c>
      <c r="F112" s="660" t="s">
        <v>291</v>
      </c>
      <c r="G112" s="843">
        <f>'Resolución 137-2019-OS_CD'!G112*Factores!$B$9</f>
        <v>14758.5588</v>
      </c>
      <c r="H112" s="843">
        <f>'Resolución 137-2019-OS_CD'!H112*Factores!$B$9</f>
        <v>16614.7112</v>
      </c>
      <c r="I112" s="843">
        <f>'Resolución 137-2019-OS_CD'!I112*Factores!$B$9</f>
        <v>15093.763700000001</v>
      </c>
      <c r="J112" s="843">
        <f>'Resolución 137-2019-OS_CD'!J112*Factores!$B$9</f>
        <v>22784.390000000003</v>
      </c>
      <c r="K112" s="843">
        <f>'Resolución 137-2019-OS_CD'!K112*Factores!$B$9</f>
        <v>17598.8537</v>
      </c>
      <c r="L112" s="843">
        <f>'Resolución 137-2019-OS_CD'!L112*Factores!$B$9</f>
        <v>29048.307900000003</v>
      </c>
      <c r="T112" s="629">
        <v>9806</v>
      </c>
      <c r="U112" s="629">
        <v>11850</v>
      </c>
      <c r="V112" s="629">
        <v>10022</v>
      </c>
      <c r="W112" s="629">
        <v>16114</v>
      </c>
      <c r="X112" s="629">
        <v>11544</v>
      </c>
      <c r="Y112" s="629">
        <v>20444</v>
      </c>
      <c r="AA112" s="629">
        <f t="shared" si="6"/>
        <v>1</v>
      </c>
      <c r="AB112" s="629">
        <f t="shared" si="6"/>
        <v>1</v>
      </c>
      <c r="AC112" s="629">
        <f t="shared" si="6"/>
        <v>1</v>
      </c>
      <c r="AD112" s="629">
        <f t="shared" si="6"/>
        <v>1</v>
      </c>
      <c r="AE112" s="629">
        <f t="shared" si="6"/>
        <v>1</v>
      </c>
    </row>
    <row r="113" spans="2:33" ht="12.75">
      <c r="B113" s="683"/>
      <c r="C113" s="683"/>
      <c r="D113" s="688" t="s">
        <v>177</v>
      </c>
      <c r="E113" s="666" t="s">
        <v>176</v>
      </c>
      <c r="F113" s="660" t="s">
        <v>291</v>
      </c>
      <c r="G113" s="843">
        <f>'Resolución 137-2019-OS_CD'!G113*Factores!$B$9</f>
        <v>18022.3332</v>
      </c>
      <c r="H113" s="843">
        <f>'Resolución 137-2019-OS_CD'!H113*Factores!$B$9</f>
        <v>17375.7814</v>
      </c>
      <c r="I113" s="843">
        <f>'Resolución 137-2019-OS_CD'!I113*Factores!$B$9</f>
        <v>16458.441300000002</v>
      </c>
      <c r="J113" s="843">
        <f>'Resolución 137-2019-OS_CD'!J113*Factores!$B$9</f>
        <v>22428.9058</v>
      </c>
      <c r="K113" s="843">
        <f>'Resolución 137-2019-OS_CD'!K113*Factores!$B$9</f>
        <v>19303.5078</v>
      </c>
      <c r="L113" s="843">
        <f>'Resolución 137-2019-OS_CD'!L113*Factores!$B$9</f>
        <v>27027.535300000003</v>
      </c>
      <c r="T113" s="629">
        <v>11788</v>
      </c>
      <c r="U113" s="629">
        <v>12376</v>
      </c>
      <c r="V113" s="629">
        <v>10851</v>
      </c>
      <c r="W113" s="629">
        <v>15869</v>
      </c>
      <c r="X113" s="629">
        <v>12580</v>
      </c>
      <c r="Y113" s="629">
        <v>19047</v>
      </c>
      <c r="AA113" s="629">
        <f t="shared" si="6"/>
        <v>1</v>
      </c>
      <c r="AB113" s="629">
        <f t="shared" si="6"/>
        <v>1</v>
      </c>
      <c r="AC113" s="629">
        <f t="shared" si="6"/>
        <v>1</v>
      </c>
      <c r="AD113" s="629">
        <f t="shared" si="6"/>
        <v>1</v>
      </c>
      <c r="AE113" s="629">
        <f t="shared" si="6"/>
        <v>1</v>
      </c>
      <c r="AF113" s="657">
        <f>+SUM(AA109:AE113)</f>
        <v>25</v>
      </c>
      <c r="AG113" s="629" t="b">
        <f>+IF(AF113=0,"ok")</f>
        <v>0</v>
      </c>
    </row>
    <row r="114" spans="2:32" ht="12.75">
      <c r="B114" s="855"/>
      <c r="C114" s="855"/>
      <c r="D114" s="644"/>
      <c r="E114" s="748"/>
      <c r="F114" s="689"/>
      <c r="G114" s="854"/>
      <c r="H114" s="854"/>
      <c r="I114" s="854"/>
      <c r="J114" s="854"/>
      <c r="K114" s="854"/>
      <c r="L114" s="854"/>
      <c r="AF114" s="657"/>
    </row>
    <row r="115" spans="2:32" ht="12.75">
      <c r="B115" s="855"/>
      <c r="C115" s="855"/>
      <c r="D115" s="644"/>
      <c r="E115" s="748"/>
      <c r="F115" s="689"/>
      <c r="G115" s="854"/>
      <c r="H115" s="854"/>
      <c r="I115" s="854"/>
      <c r="J115" s="854"/>
      <c r="K115" s="854"/>
      <c r="L115" s="854"/>
      <c r="AF115" s="657"/>
    </row>
    <row r="116" spans="2:32" ht="12.75">
      <c r="B116" s="855"/>
      <c r="C116" s="855"/>
      <c r="D116" s="644"/>
      <c r="E116" s="748"/>
      <c r="F116" s="689"/>
      <c r="G116" s="854"/>
      <c r="H116" s="854"/>
      <c r="I116" s="854"/>
      <c r="J116" s="854"/>
      <c r="K116" s="854"/>
      <c r="L116" s="854"/>
      <c r="AF116" s="657"/>
    </row>
    <row r="117" spans="2:32" ht="12.75">
      <c r="B117" s="855"/>
      <c r="C117" s="855"/>
      <c r="D117" s="644"/>
      <c r="E117" s="748"/>
      <c r="F117" s="689"/>
      <c r="G117" s="854"/>
      <c r="H117" s="854"/>
      <c r="I117" s="854"/>
      <c r="J117" s="854"/>
      <c r="K117" s="854"/>
      <c r="L117" s="854"/>
      <c r="AF117" s="657"/>
    </row>
    <row r="118" spans="2:32" ht="12.75">
      <c r="B118" s="855"/>
      <c r="C118" s="855"/>
      <c r="D118" s="644"/>
      <c r="E118" s="748"/>
      <c r="F118" s="689"/>
      <c r="G118" s="854"/>
      <c r="H118" s="854"/>
      <c r="I118" s="854"/>
      <c r="J118" s="854"/>
      <c r="K118" s="854"/>
      <c r="L118" s="854"/>
      <c r="AF118" s="657"/>
    </row>
    <row r="119" spans="2:32" ht="12.75">
      <c r="B119" s="855"/>
      <c r="C119" s="855"/>
      <c r="D119" s="644"/>
      <c r="E119" s="748"/>
      <c r="F119" s="689"/>
      <c r="G119" s="854"/>
      <c r="H119" s="854"/>
      <c r="I119" s="854"/>
      <c r="J119" s="854"/>
      <c r="K119" s="854"/>
      <c r="L119" s="854"/>
      <c r="AF119" s="657"/>
    </row>
    <row r="120" spans="2:32" ht="12.75">
      <c r="B120" s="855"/>
      <c r="C120" s="855"/>
      <c r="D120" s="644"/>
      <c r="E120" s="748"/>
      <c r="F120" s="689"/>
      <c r="G120" s="854"/>
      <c r="H120" s="854"/>
      <c r="I120" s="854"/>
      <c r="J120" s="854"/>
      <c r="K120" s="854"/>
      <c r="L120" s="854"/>
      <c r="AF120" s="657"/>
    </row>
    <row r="121" spans="2:32" ht="12.75">
      <c r="B121" s="855"/>
      <c r="C121" s="855"/>
      <c r="D121" s="644"/>
      <c r="E121" s="748"/>
      <c r="F121" s="689"/>
      <c r="G121" s="854"/>
      <c r="H121" s="854"/>
      <c r="I121" s="854"/>
      <c r="J121" s="854"/>
      <c r="K121" s="854"/>
      <c r="L121" s="854"/>
      <c r="AF121" s="657"/>
    </row>
    <row r="122" spans="2:32" ht="12.75">
      <c r="B122" s="855"/>
      <c r="C122" s="855"/>
      <c r="D122" s="644"/>
      <c r="E122" s="748"/>
      <c r="F122" s="689"/>
      <c r="G122" s="854"/>
      <c r="H122" s="854"/>
      <c r="I122" s="854"/>
      <c r="J122" s="854"/>
      <c r="K122" s="854"/>
      <c r="L122" s="854"/>
      <c r="AF122" s="657"/>
    </row>
    <row r="123" spans="2:32" ht="12.75">
      <c r="B123" s="855"/>
      <c r="C123" s="855"/>
      <c r="D123" s="644"/>
      <c r="E123" s="748"/>
      <c r="F123" s="689"/>
      <c r="G123" s="854"/>
      <c r="H123" s="854"/>
      <c r="I123" s="854"/>
      <c r="J123" s="854"/>
      <c r="K123" s="854"/>
      <c r="L123" s="854"/>
      <c r="AF123" s="657"/>
    </row>
    <row r="124" spans="2:32" ht="12.75">
      <c r="B124" s="855"/>
      <c r="C124" s="855"/>
      <c r="D124" s="644"/>
      <c r="E124" s="748"/>
      <c r="F124" s="689"/>
      <c r="G124" s="854"/>
      <c r="H124" s="854"/>
      <c r="I124" s="854"/>
      <c r="J124" s="854"/>
      <c r="K124" s="854"/>
      <c r="L124" s="854"/>
      <c r="AF124" s="657"/>
    </row>
    <row r="125" spans="2:32" ht="12.75">
      <c r="B125" s="855"/>
      <c r="C125" s="855"/>
      <c r="D125" s="644"/>
      <c r="E125" s="748"/>
      <c r="F125" s="689"/>
      <c r="G125" s="854"/>
      <c r="H125" s="854"/>
      <c r="I125" s="854"/>
      <c r="J125" s="854"/>
      <c r="K125" s="854"/>
      <c r="L125" s="854"/>
      <c r="AF125" s="657"/>
    </row>
    <row r="126" spans="2:32" ht="12.75">
      <c r="B126" s="855"/>
      <c r="C126" s="855"/>
      <c r="D126" s="644"/>
      <c r="E126" s="748"/>
      <c r="F126" s="689"/>
      <c r="G126" s="854"/>
      <c r="H126" s="854"/>
      <c r="I126" s="854"/>
      <c r="J126" s="854"/>
      <c r="K126" s="854"/>
      <c r="L126" s="854"/>
      <c r="AF126" s="657"/>
    </row>
    <row r="127" spans="2:32" ht="12.75">
      <c r="B127" s="855"/>
      <c r="C127" s="855"/>
      <c r="D127" s="644"/>
      <c r="E127" s="748"/>
      <c r="F127" s="689"/>
      <c r="G127" s="854"/>
      <c r="H127" s="854"/>
      <c r="I127" s="854"/>
      <c r="J127" s="854"/>
      <c r="K127" s="854"/>
      <c r="L127" s="854"/>
      <c r="AF127" s="657"/>
    </row>
    <row r="128" spans="2:32" ht="12.75">
      <c r="B128" s="855"/>
      <c r="C128" s="855"/>
      <c r="D128" s="644"/>
      <c r="E128" s="748"/>
      <c r="F128" s="689"/>
      <c r="G128" s="854"/>
      <c r="H128" s="854"/>
      <c r="I128" s="854"/>
      <c r="J128" s="854"/>
      <c r="K128" s="854"/>
      <c r="L128" s="854"/>
      <c r="AF128" s="657"/>
    </row>
    <row r="129" spans="2:32" ht="12.75">
      <c r="B129" s="855"/>
      <c r="C129" s="855"/>
      <c r="D129" s="644"/>
      <c r="E129" s="748"/>
      <c r="F129" s="689"/>
      <c r="G129" s="854"/>
      <c r="H129" s="854"/>
      <c r="I129" s="854"/>
      <c r="J129" s="854"/>
      <c r="K129" s="854"/>
      <c r="L129" s="854"/>
      <c r="AF129" s="657"/>
    </row>
    <row r="130" spans="2:32" ht="12.75">
      <c r="B130" s="855"/>
      <c r="C130" s="855"/>
      <c r="D130" s="644"/>
      <c r="E130" s="748"/>
      <c r="F130" s="689"/>
      <c r="G130" s="854"/>
      <c r="H130" s="854"/>
      <c r="I130" s="854"/>
      <c r="J130" s="854"/>
      <c r="K130" s="854"/>
      <c r="L130" s="854"/>
      <c r="AF130" s="657"/>
    </row>
    <row r="131" spans="2:12" ht="15.75">
      <c r="B131" s="632" t="s">
        <v>292</v>
      </c>
      <c r="C131" s="633"/>
      <c r="D131" s="689"/>
      <c r="E131" s="633"/>
      <c r="F131" s="633"/>
      <c r="G131" s="633"/>
      <c r="H131" s="633"/>
      <c r="I131" s="630"/>
      <c r="J131" s="630"/>
      <c r="K131" s="630"/>
      <c r="L131" s="630"/>
    </row>
    <row r="132" spans="2:12" ht="12.75">
      <c r="B132" s="633"/>
      <c r="C132" s="633"/>
      <c r="D132" s="689"/>
      <c r="E132" s="633"/>
      <c r="F132" s="633"/>
      <c r="G132" s="633"/>
      <c r="H132" s="633"/>
      <c r="I132" s="630"/>
      <c r="J132" s="630"/>
      <c r="K132" s="630"/>
      <c r="L132" s="630"/>
    </row>
    <row r="133" spans="2:12" ht="25.5">
      <c r="B133" s="690" t="s">
        <v>100</v>
      </c>
      <c r="C133" s="690" t="s">
        <v>47</v>
      </c>
      <c r="D133" s="690" t="s">
        <v>181</v>
      </c>
      <c r="E133" s="690" t="s">
        <v>50</v>
      </c>
      <c r="F133" s="690" t="s">
        <v>98</v>
      </c>
      <c r="G133" s="690" t="s">
        <v>99</v>
      </c>
      <c r="H133" s="690" t="s">
        <v>245</v>
      </c>
      <c r="I133" s="630"/>
      <c r="J133" s="630"/>
      <c r="K133" s="630"/>
      <c r="L133" s="630"/>
    </row>
    <row r="134" spans="2:26" ht="12.75">
      <c r="B134" s="691" t="s">
        <v>101</v>
      </c>
      <c r="C134" s="692" t="s">
        <v>1</v>
      </c>
      <c r="D134" s="693" t="s">
        <v>72</v>
      </c>
      <c r="E134" s="694" t="s">
        <v>102</v>
      </c>
      <c r="F134" s="847">
        <f>'Resolución 137-2019-OS_CD'!F119*Factores!$B$10</f>
        <v>1347.9317999999998</v>
      </c>
      <c r="G134" s="847">
        <f>'Resolución 137-2019-OS_CD'!G119*Factores!$B$10</f>
        <v>1167.6774</v>
      </c>
      <c r="H134" s="847">
        <f>'Resolución 137-2019-OS_CD'!H119*Factores!$B$10</f>
        <v>1117.3121999999998</v>
      </c>
      <c r="I134" s="630"/>
      <c r="J134" s="884">
        <f>+ROUND(F134,0)</f>
        <v>1348</v>
      </c>
      <c r="K134" s="884">
        <f>+ROUND(G134,0)</f>
        <v>1168</v>
      </c>
      <c r="L134" s="884">
        <f>+ROUND(H134,0)</f>
        <v>1117</v>
      </c>
      <c r="T134" s="629">
        <v>917</v>
      </c>
      <c r="U134" s="629">
        <v>799</v>
      </c>
      <c r="V134" s="629">
        <v>765</v>
      </c>
      <c r="X134" s="629">
        <f aca="true" t="shared" si="7" ref="X134:X163">+IF(T134=F134,0,1)</f>
        <v>1</v>
      </c>
      <c r="Y134" s="629">
        <f aca="true" t="shared" si="8" ref="Y134:Y163">+IF(U134=G134,0,1)</f>
        <v>1</v>
      </c>
      <c r="Z134" s="629">
        <f aca="true" t="shared" si="9" ref="Z134:Z163">+IF(V134=H134,0,1)</f>
        <v>1</v>
      </c>
    </row>
    <row r="135" spans="2:26" ht="12.75">
      <c r="B135" s="695"/>
      <c r="C135" s="696"/>
      <c r="D135" s="697"/>
      <c r="E135" s="694" t="s">
        <v>103</v>
      </c>
      <c r="F135" s="847">
        <f>'Resolución 137-2019-OS_CD'!F120*Factores!$B$10</f>
        <v>206.76239999999999</v>
      </c>
      <c r="G135" s="847">
        <f>'Resolución 137-2019-OS_CD'!G120*Factores!$B$10</f>
        <v>206.76239999999999</v>
      </c>
      <c r="H135" s="847">
        <f>'Resolución 137-2019-OS_CD'!H120*Factores!$B$10</f>
        <v>206.76239999999999</v>
      </c>
      <c r="I135" s="630"/>
      <c r="J135" s="884">
        <f aca="true" t="shared" si="10" ref="J135:J163">+ROUND(F135,0)</f>
        <v>207</v>
      </c>
      <c r="K135" s="884">
        <f aca="true" t="shared" si="11" ref="K135:K163">+ROUND(G135,0)</f>
        <v>207</v>
      </c>
      <c r="L135" s="884">
        <f aca="true" t="shared" si="12" ref="L135:L163">+ROUND(H135,0)</f>
        <v>207</v>
      </c>
      <c r="T135" s="629">
        <v>184</v>
      </c>
      <c r="U135" s="629">
        <v>184</v>
      </c>
      <c r="V135" s="629">
        <v>184</v>
      </c>
      <c r="X135" s="629">
        <f t="shared" si="7"/>
        <v>1</v>
      </c>
      <c r="Y135" s="629">
        <f t="shared" si="8"/>
        <v>1</v>
      </c>
      <c r="Z135" s="629">
        <f t="shared" si="9"/>
        <v>1</v>
      </c>
    </row>
    <row r="136" spans="2:26" ht="12.75">
      <c r="B136" s="695"/>
      <c r="C136" s="696"/>
      <c r="D136" s="698" t="s">
        <v>176</v>
      </c>
      <c r="E136" s="694" t="s">
        <v>102</v>
      </c>
      <c r="F136" s="847">
        <f>'Resolución 137-2019-OS_CD'!F121*Factores!$B$10</f>
        <v>1347.9317999999998</v>
      </c>
      <c r="G136" s="847">
        <f>'Resolución 137-2019-OS_CD'!G121*Factores!$B$10</f>
        <v>1167.6774</v>
      </c>
      <c r="H136" s="847">
        <f>'Resolución 137-2019-OS_CD'!H121*Factores!$B$10</f>
        <v>1117.3121999999998</v>
      </c>
      <c r="I136" s="630"/>
      <c r="J136" s="884">
        <f t="shared" si="10"/>
        <v>1348</v>
      </c>
      <c r="K136" s="884">
        <f t="shared" si="11"/>
        <v>1168</v>
      </c>
      <c r="L136" s="884">
        <f t="shared" si="12"/>
        <v>1117</v>
      </c>
      <c r="T136" s="629">
        <v>917</v>
      </c>
      <c r="U136" s="629">
        <v>799</v>
      </c>
      <c r="V136" s="629">
        <v>765</v>
      </c>
      <c r="X136" s="629">
        <f t="shared" si="7"/>
        <v>1</v>
      </c>
      <c r="Y136" s="629">
        <f t="shared" si="8"/>
        <v>1</v>
      </c>
      <c r="Z136" s="629">
        <f t="shared" si="9"/>
        <v>1</v>
      </c>
    </row>
    <row r="137" spans="2:26" ht="12.75">
      <c r="B137" s="695"/>
      <c r="C137" s="696"/>
      <c r="D137" s="697"/>
      <c r="E137" s="694" t="s">
        <v>103</v>
      </c>
      <c r="F137" s="847">
        <f>'Resolución 137-2019-OS_CD'!F122*Factores!$B$10</f>
        <v>206.76239999999999</v>
      </c>
      <c r="G137" s="847">
        <f>'Resolución 137-2019-OS_CD'!G122*Factores!$B$10</f>
        <v>206.76239999999999</v>
      </c>
      <c r="H137" s="847">
        <f>'Resolución 137-2019-OS_CD'!H122*Factores!$B$10</f>
        <v>206.76239999999999</v>
      </c>
      <c r="I137" s="630"/>
      <c r="J137" s="884">
        <f t="shared" si="10"/>
        <v>207</v>
      </c>
      <c r="K137" s="884">
        <f t="shared" si="11"/>
        <v>207</v>
      </c>
      <c r="L137" s="884">
        <f t="shared" si="12"/>
        <v>207</v>
      </c>
      <c r="T137" s="629">
        <v>184</v>
      </c>
      <c r="U137" s="629">
        <v>184</v>
      </c>
      <c r="V137" s="629">
        <v>184</v>
      </c>
      <c r="X137" s="629">
        <f t="shared" si="7"/>
        <v>1</v>
      </c>
      <c r="Y137" s="629">
        <f t="shared" si="8"/>
        <v>1</v>
      </c>
      <c r="Z137" s="629">
        <f t="shared" si="9"/>
        <v>1</v>
      </c>
    </row>
    <row r="138" spans="2:26" ht="12.75">
      <c r="B138" s="695"/>
      <c r="C138" s="699" t="s">
        <v>2</v>
      </c>
      <c r="D138" s="693" t="s">
        <v>72</v>
      </c>
      <c r="E138" s="694" t="s">
        <v>104</v>
      </c>
      <c r="F138" s="847">
        <f>'Resolución 137-2019-OS_CD'!F123*Factores!$B$10</f>
        <v>7635.6294</v>
      </c>
      <c r="G138" s="847">
        <f>'Resolución 137-2019-OS_CD'!G123*Factores!$B$10</f>
        <v>7635.6294</v>
      </c>
      <c r="H138" s="847">
        <f>'Resolución 137-2019-OS_CD'!H123*Factores!$B$10</f>
        <v>7635.6294</v>
      </c>
      <c r="I138" s="630"/>
      <c r="J138" s="884">
        <f t="shared" si="10"/>
        <v>7636</v>
      </c>
      <c r="K138" s="884">
        <f t="shared" si="11"/>
        <v>7636</v>
      </c>
      <c r="L138" s="884">
        <f t="shared" si="12"/>
        <v>7636</v>
      </c>
      <c r="T138" s="629">
        <v>4792</v>
      </c>
      <c r="U138" s="629">
        <v>4792</v>
      </c>
      <c r="V138" s="629">
        <v>4792</v>
      </c>
      <c r="X138" s="629">
        <f t="shared" si="7"/>
        <v>1</v>
      </c>
      <c r="Y138" s="629">
        <f t="shared" si="8"/>
        <v>1</v>
      </c>
      <c r="Z138" s="629">
        <f t="shared" si="9"/>
        <v>1</v>
      </c>
    </row>
    <row r="139" spans="2:26" ht="12.75">
      <c r="B139" s="695"/>
      <c r="C139" s="700"/>
      <c r="D139" s="701" t="s">
        <v>176</v>
      </c>
      <c r="E139" s="694" t="s">
        <v>104</v>
      </c>
      <c r="F139" s="847">
        <f>'Resolución 137-2019-OS_CD'!F124*Factores!$B$10</f>
        <v>7635.6294</v>
      </c>
      <c r="G139" s="847">
        <f>'Resolución 137-2019-OS_CD'!G124*Factores!$B$10</f>
        <v>7635.6294</v>
      </c>
      <c r="H139" s="847">
        <f>'Resolución 137-2019-OS_CD'!H124*Factores!$B$10</f>
        <v>7635.6294</v>
      </c>
      <c r="I139" s="630"/>
      <c r="J139" s="884">
        <f t="shared" si="10"/>
        <v>7636</v>
      </c>
      <c r="K139" s="884">
        <f t="shared" si="11"/>
        <v>7636</v>
      </c>
      <c r="L139" s="884">
        <f t="shared" si="12"/>
        <v>7636</v>
      </c>
      <c r="T139" s="629">
        <v>4792</v>
      </c>
      <c r="U139" s="629">
        <v>4792</v>
      </c>
      <c r="V139" s="629">
        <v>4792</v>
      </c>
      <c r="X139" s="629">
        <f t="shared" si="7"/>
        <v>1</v>
      </c>
      <c r="Y139" s="629">
        <f t="shared" si="8"/>
        <v>1</v>
      </c>
      <c r="Z139" s="629">
        <f t="shared" si="9"/>
        <v>1</v>
      </c>
    </row>
    <row r="140" spans="2:26" ht="12.75">
      <c r="B140" s="702" t="s">
        <v>105</v>
      </c>
      <c r="C140" s="699" t="s">
        <v>1</v>
      </c>
      <c r="D140" s="693"/>
      <c r="E140" s="694" t="s">
        <v>106</v>
      </c>
      <c r="F140" s="847">
        <f>'Resolución 137-2019-OS_CD'!F125*Factores!$B$10</f>
        <v>7989.5112</v>
      </c>
      <c r="G140" s="847">
        <f>'Resolución 137-2019-OS_CD'!G125*Factores!$B$10</f>
        <v>7630.327799999999</v>
      </c>
      <c r="H140" s="847">
        <f>'Resolución 137-2019-OS_CD'!H125*Factores!$B$10</f>
        <v>7746.963</v>
      </c>
      <c r="I140" s="630"/>
      <c r="J140" s="884">
        <f t="shared" si="10"/>
        <v>7990</v>
      </c>
      <c r="K140" s="884">
        <f t="shared" si="11"/>
        <v>7630</v>
      </c>
      <c r="L140" s="884">
        <f t="shared" si="12"/>
        <v>7747</v>
      </c>
      <c r="T140" s="629">
        <v>5527</v>
      </c>
      <c r="U140" s="629">
        <v>5290</v>
      </c>
      <c r="V140" s="629">
        <v>5359</v>
      </c>
      <c r="X140" s="629">
        <f t="shared" si="7"/>
        <v>1</v>
      </c>
      <c r="Y140" s="629">
        <f t="shared" si="8"/>
        <v>1</v>
      </c>
      <c r="Z140" s="629">
        <f t="shared" si="9"/>
        <v>1</v>
      </c>
    </row>
    <row r="141" spans="2:26" ht="12.75">
      <c r="B141" s="695"/>
      <c r="C141" s="696"/>
      <c r="D141" s="698" t="s">
        <v>72</v>
      </c>
      <c r="E141" s="694" t="s">
        <v>107</v>
      </c>
      <c r="F141" s="847">
        <f>'Resolución 137-2019-OS_CD'!F126*Factores!$B$10</f>
        <v>6497.1107999999995</v>
      </c>
      <c r="G141" s="847">
        <f>'Resolución 137-2019-OS_CD'!G126*Factores!$B$10</f>
        <v>6510.364799999999</v>
      </c>
      <c r="H141" s="847">
        <f>'Resolución 137-2019-OS_CD'!H126*Factores!$B$10</f>
        <v>6858.945</v>
      </c>
      <c r="I141" s="630"/>
      <c r="J141" s="884">
        <f t="shared" si="10"/>
        <v>6497</v>
      </c>
      <c r="K141" s="884">
        <f t="shared" si="11"/>
        <v>6510</v>
      </c>
      <c r="L141" s="884">
        <f t="shared" si="12"/>
        <v>6859</v>
      </c>
      <c r="T141" s="629">
        <v>4466</v>
      </c>
      <c r="U141" s="629">
        <v>4475</v>
      </c>
      <c r="V141" s="629">
        <v>4709</v>
      </c>
      <c r="X141" s="629">
        <f t="shared" si="7"/>
        <v>1</v>
      </c>
      <c r="Y141" s="629">
        <f t="shared" si="8"/>
        <v>1</v>
      </c>
      <c r="Z141" s="629">
        <f t="shared" si="9"/>
        <v>1</v>
      </c>
    </row>
    <row r="142" spans="2:26" ht="12.75">
      <c r="B142" s="695"/>
      <c r="C142" s="696"/>
      <c r="D142" s="697"/>
      <c r="E142" s="694" t="s">
        <v>108</v>
      </c>
      <c r="F142" s="847">
        <f>'Resolución 137-2019-OS_CD'!F127*Factores!$B$10</f>
        <v>6649.5318</v>
      </c>
      <c r="G142" s="847">
        <f>'Resolución 137-2019-OS_CD'!G127*Factores!$B$10</f>
        <v>6482.5314</v>
      </c>
      <c r="H142" s="847">
        <f>'Resolución 137-2019-OS_CD'!H127*Factores!$B$10</f>
        <v>6523.618799999999</v>
      </c>
      <c r="I142" s="630"/>
      <c r="J142" s="884">
        <f t="shared" si="10"/>
        <v>6650</v>
      </c>
      <c r="K142" s="884">
        <f t="shared" si="11"/>
        <v>6483</v>
      </c>
      <c r="L142" s="884">
        <f t="shared" si="12"/>
        <v>6524</v>
      </c>
      <c r="T142" s="629">
        <v>4708</v>
      </c>
      <c r="U142" s="629">
        <v>4598</v>
      </c>
      <c r="V142" s="629">
        <v>4616</v>
      </c>
      <c r="X142" s="629">
        <f t="shared" si="7"/>
        <v>1</v>
      </c>
      <c r="Y142" s="629">
        <f t="shared" si="8"/>
        <v>1</v>
      </c>
      <c r="Z142" s="629">
        <f t="shared" si="9"/>
        <v>1</v>
      </c>
    </row>
    <row r="143" spans="2:26" ht="12.75">
      <c r="B143" s="695"/>
      <c r="C143" s="696"/>
      <c r="D143" s="693"/>
      <c r="E143" s="694" t="s">
        <v>106</v>
      </c>
      <c r="F143" s="847">
        <f>'Resolución 137-2019-OS_CD'!F128*Factores!$B$10</f>
        <v>8428.2186</v>
      </c>
      <c r="G143" s="847">
        <f>'Resolución 137-2019-OS_CD'!G128*Factores!$B$10</f>
        <v>7630.327799999999</v>
      </c>
      <c r="H143" s="847">
        <f>'Resolución 137-2019-OS_CD'!H128*Factores!$B$10</f>
        <v>7746.963</v>
      </c>
      <c r="I143" s="630"/>
      <c r="J143" s="884">
        <f t="shared" si="10"/>
        <v>8428</v>
      </c>
      <c r="K143" s="884">
        <f t="shared" si="11"/>
        <v>7630</v>
      </c>
      <c r="L143" s="884">
        <f t="shared" si="12"/>
        <v>7747</v>
      </c>
      <c r="T143" s="629">
        <v>5814</v>
      </c>
      <c r="U143" s="629">
        <v>5290</v>
      </c>
      <c r="V143" s="629">
        <v>5359</v>
      </c>
      <c r="X143" s="629">
        <f t="shared" si="7"/>
        <v>1</v>
      </c>
      <c r="Y143" s="629">
        <f t="shared" si="8"/>
        <v>1</v>
      </c>
      <c r="Z143" s="629">
        <f t="shared" si="9"/>
        <v>1</v>
      </c>
    </row>
    <row r="144" spans="2:26" ht="12.75">
      <c r="B144" s="695"/>
      <c r="C144" s="696"/>
      <c r="D144" s="698" t="s">
        <v>176</v>
      </c>
      <c r="E144" s="694" t="s">
        <v>107</v>
      </c>
      <c r="F144" s="847">
        <f>'Resolución 137-2019-OS_CD'!F129*Factores!$B$10</f>
        <v>7492.486199999999</v>
      </c>
      <c r="G144" s="847">
        <f>'Resolución 137-2019-OS_CD'!G129*Factores!$B$10</f>
        <v>6567.357</v>
      </c>
      <c r="H144" s="847">
        <f>'Resolución 137-2019-OS_CD'!H129*Factores!$B$10</f>
        <v>6858.945</v>
      </c>
      <c r="I144" s="630"/>
      <c r="J144" s="884">
        <f t="shared" si="10"/>
        <v>7492</v>
      </c>
      <c r="K144" s="884">
        <f t="shared" si="11"/>
        <v>6567</v>
      </c>
      <c r="L144" s="884">
        <f t="shared" si="12"/>
        <v>6859</v>
      </c>
      <c r="T144" s="629">
        <v>5070</v>
      </c>
      <c r="U144" s="629">
        <v>4517</v>
      </c>
      <c r="V144" s="629">
        <v>4709</v>
      </c>
      <c r="X144" s="629">
        <f t="shared" si="7"/>
        <v>1</v>
      </c>
      <c r="Y144" s="629">
        <f t="shared" si="8"/>
        <v>1</v>
      </c>
      <c r="Z144" s="629">
        <f t="shared" si="9"/>
        <v>1</v>
      </c>
    </row>
    <row r="145" spans="2:26" ht="12.75">
      <c r="B145" s="695"/>
      <c r="C145" s="696"/>
      <c r="D145" s="697"/>
      <c r="E145" s="694" t="s">
        <v>108</v>
      </c>
      <c r="F145" s="847">
        <f>'Resolución 137-2019-OS_CD'!F130*Factores!$B$10</f>
        <v>7334.763599999999</v>
      </c>
      <c r="G145" s="847">
        <f>'Resolución 137-2019-OS_CD'!G130*Factores!$B$10</f>
        <v>6539.5235999999995</v>
      </c>
      <c r="H145" s="847">
        <f>'Resolución 137-2019-OS_CD'!H130*Factores!$B$10</f>
        <v>6523.618799999999</v>
      </c>
      <c r="I145" s="630"/>
      <c r="J145" s="884">
        <f t="shared" si="10"/>
        <v>7335</v>
      </c>
      <c r="K145" s="884">
        <f t="shared" si="11"/>
        <v>6540</v>
      </c>
      <c r="L145" s="884">
        <f t="shared" si="12"/>
        <v>6524</v>
      </c>
      <c r="T145" s="629">
        <v>5138</v>
      </c>
      <c r="U145" s="629">
        <v>4640</v>
      </c>
      <c r="V145" s="629">
        <v>4616</v>
      </c>
      <c r="X145" s="629">
        <f t="shared" si="7"/>
        <v>1</v>
      </c>
      <c r="Y145" s="629">
        <f t="shared" si="8"/>
        <v>1</v>
      </c>
      <c r="Z145" s="629">
        <f t="shared" si="9"/>
        <v>1</v>
      </c>
    </row>
    <row r="146" spans="2:26" ht="12.75">
      <c r="B146" s="703"/>
      <c r="C146" s="704" t="s">
        <v>109</v>
      </c>
      <c r="D146" s="701" t="s">
        <v>72</v>
      </c>
      <c r="E146" s="694" t="s">
        <v>108</v>
      </c>
      <c r="F146" s="847">
        <f>'Resolución 137-2019-OS_CD'!F131*Factores!$B$10</f>
        <v>7712.5026</v>
      </c>
      <c r="G146" s="847">
        <f>'Resolución 137-2019-OS_CD'!G131*Factores!$B$10</f>
        <v>7353.3192</v>
      </c>
      <c r="H146" s="847">
        <f>'Resolución 137-2019-OS_CD'!H131*Factores!$B$10</f>
        <v>8177.718</v>
      </c>
      <c r="I146" s="630"/>
      <c r="J146" s="884">
        <f t="shared" si="10"/>
        <v>7713</v>
      </c>
      <c r="K146" s="884">
        <f t="shared" si="11"/>
        <v>7353</v>
      </c>
      <c r="L146" s="884">
        <f t="shared" si="12"/>
        <v>8178</v>
      </c>
      <c r="T146" s="629">
        <v>5648</v>
      </c>
      <c r="U146" s="629">
        <v>5412</v>
      </c>
      <c r="V146" s="629">
        <v>6075</v>
      </c>
      <c r="X146" s="629">
        <f t="shared" si="7"/>
        <v>1</v>
      </c>
      <c r="Y146" s="629">
        <f t="shared" si="8"/>
        <v>1</v>
      </c>
      <c r="Z146" s="629">
        <f t="shared" si="9"/>
        <v>1</v>
      </c>
    </row>
    <row r="147" spans="2:26" ht="12.75">
      <c r="B147" s="703"/>
      <c r="C147" s="705"/>
      <c r="D147" s="697" t="s">
        <v>176</v>
      </c>
      <c r="E147" s="694" t="s">
        <v>108</v>
      </c>
      <c r="F147" s="847">
        <f>'Resolución 137-2019-OS_CD'!F132*Factores!$B$10</f>
        <v>8334.1152</v>
      </c>
      <c r="G147" s="847">
        <f>'Resolución 137-2019-OS_CD'!G132*Factores!$B$10</f>
        <v>7353.3192</v>
      </c>
      <c r="H147" s="847">
        <f>'Resolución 137-2019-OS_CD'!H132*Factores!$B$10</f>
        <v>8177.718</v>
      </c>
      <c r="I147" s="630"/>
      <c r="J147" s="884">
        <f t="shared" si="10"/>
        <v>8334</v>
      </c>
      <c r="K147" s="884">
        <f t="shared" si="11"/>
        <v>7353</v>
      </c>
      <c r="L147" s="884">
        <f t="shared" si="12"/>
        <v>8178</v>
      </c>
      <c r="T147" s="629">
        <v>6084</v>
      </c>
      <c r="U147" s="629">
        <v>5412</v>
      </c>
      <c r="V147" s="629">
        <v>6075</v>
      </c>
      <c r="X147" s="629">
        <f t="shared" si="7"/>
        <v>1</v>
      </c>
      <c r="Y147" s="629">
        <f t="shared" si="8"/>
        <v>1</v>
      </c>
      <c r="Z147" s="629">
        <f t="shared" si="9"/>
        <v>1</v>
      </c>
    </row>
    <row r="148" spans="2:26" ht="12.75">
      <c r="B148" s="706" t="s">
        <v>110</v>
      </c>
      <c r="C148" s="707" t="s">
        <v>2</v>
      </c>
      <c r="D148" s="701" t="s">
        <v>72</v>
      </c>
      <c r="E148" s="694" t="s">
        <v>111</v>
      </c>
      <c r="F148" s="847">
        <f>'Resolución 137-2019-OS_CD'!F133*Factores!$B$10</f>
        <v>7479.2321999999995</v>
      </c>
      <c r="G148" s="847">
        <f>'Resolución 137-2019-OS_CD'!G133*Factores!$B$10</f>
        <v>7202.223599999999</v>
      </c>
      <c r="H148" s="847">
        <f>'Resolución 137-2019-OS_CD'!H133*Factores!$B$10</f>
        <v>7450.073399999999</v>
      </c>
      <c r="I148" s="630"/>
      <c r="J148" s="884">
        <f t="shared" si="10"/>
        <v>7479</v>
      </c>
      <c r="K148" s="884">
        <f t="shared" si="11"/>
        <v>7202</v>
      </c>
      <c r="L148" s="884">
        <f t="shared" si="12"/>
        <v>7450</v>
      </c>
      <c r="T148" s="629">
        <v>4626</v>
      </c>
      <c r="U148" s="629">
        <v>4536</v>
      </c>
      <c r="V148" s="629">
        <v>4692</v>
      </c>
      <c r="X148" s="629">
        <f t="shared" si="7"/>
        <v>1</v>
      </c>
      <c r="Y148" s="629">
        <f t="shared" si="8"/>
        <v>1</v>
      </c>
      <c r="Z148" s="629">
        <f t="shared" si="9"/>
        <v>1</v>
      </c>
    </row>
    <row r="149" spans="2:26" ht="12.75">
      <c r="B149" s="708"/>
      <c r="C149" s="707"/>
      <c r="D149" s="697" t="s">
        <v>176</v>
      </c>
      <c r="E149" s="694" t="s">
        <v>111</v>
      </c>
      <c r="F149" s="847">
        <f>'Resolución 137-2019-OS_CD'!F134*Factores!$B$10</f>
        <v>7479.2321999999995</v>
      </c>
      <c r="G149" s="847">
        <f>'Resolución 137-2019-OS_CD'!G134*Factores!$B$10</f>
        <v>7202.223599999999</v>
      </c>
      <c r="H149" s="847">
        <f>'Resolución 137-2019-OS_CD'!H134*Factores!$B$10</f>
        <v>7450.073399999999</v>
      </c>
      <c r="I149" s="630"/>
      <c r="J149" s="884">
        <f t="shared" si="10"/>
        <v>7479</v>
      </c>
      <c r="K149" s="884">
        <f t="shared" si="11"/>
        <v>7202</v>
      </c>
      <c r="L149" s="884">
        <f t="shared" si="12"/>
        <v>7450</v>
      </c>
      <c r="T149" s="629">
        <v>4626</v>
      </c>
      <c r="U149" s="629">
        <v>4536</v>
      </c>
      <c r="V149" s="629">
        <v>4692</v>
      </c>
      <c r="X149" s="629">
        <f t="shared" si="7"/>
        <v>1</v>
      </c>
      <c r="Y149" s="629">
        <f t="shared" si="8"/>
        <v>1</v>
      </c>
      <c r="Z149" s="629">
        <f t="shared" si="9"/>
        <v>1</v>
      </c>
    </row>
    <row r="150" spans="2:26" ht="12.75">
      <c r="B150" s="695" t="s">
        <v>112</v>
      </c>
      <c r="C150" s="699" t="s">
        <v>1</v>
      </c>
      <c r="D150" s="701" t="s">
        <v>39</v>
      </c>
      <c r="E150" s="694" t="s">
        <v>182</v>
      </c>
      <c r="F150" s="847">
        <f>'Resolución 137-2019-OS_CD'!F135*Factores!$B$10</f>
        <v>1795.917</v>
      </c>
      <c r="G150" s="847">
        <f>'Resolución 137-2019-OS_CD'!G135*Factores!$B$10</f>
        <v>1681.9325999999999</v>
      </c>
      <c r="H150" s="847">
        <f>'Resolución 137-2019-OS_CD'!H135*Factores!$B$10</f>
        <v>1891.3457999999998</v>
      </c>
      <c r="I150" s="630"/>
      <c r="J150" s="884">
        <f t="shared" si="10"/>
        <v>1796</v>
      </c>
      <c r="K150" s="884">
        <f t="shared" si="11"/>
        <v>1682</v>
      </c>
      <c r="L150" s="884">
        <f t="shared" si="12"/>
        <v>1891</v>
      </c>
      <c r="T150" s="629">
        <v>1201</v>
      </c>
      <c r="U150" s="629">
        <v>1201</v>
      </c>
      <c r="V150" s="629">
        <v>1448</v>
      </c>
      <c r="X150" s="629">
        <f t="shared" si="7"/>
        <v>1</v>
      </c>
      <c r="Y150" s="629">
        <f t="shared" si="8"/>
        <v>1</v>
      </c>
      <c r="Z150" s="629">
        <f t="shared" si="9"/>
        <v>1</v>
      </c>
    </row>
    <row r="151" spans="2:26" ht="12.75">
      <c r="B151" s="695" t="s">
        <v>113</v>
      </c>
      <c r="C151" s="696"/>
      <c r="D151" s="697" t="s">
        <v>42</v>
      </c>
      <c r="E151" s="694" t="s">
        <v>182</v>
      </c>
      <c r="F151" s="847">
        <f>'Resolución 137-2019-OS_CD'!F136*Factores!$B$10</f>
        <v>1801.2186</v>
      </c>
      <c r="G151" s="847">
        <f>'Resolución 137-2019-OS_CD'!G136*Factores!$B$10</f>
        <v>1676.6309999999999</v>
      </c>
      <c r="H151" s="847">
        <f>'Resolución 137-2019-OS_CD'!H136*Factores!$B$10</f>
        <v>1892.6711999999998</v>
      </c>
      <c r="I151" s="630"/>
      <c r="J151" s="884">
        <f t="shared" si="10"/>
        <v>1801</v>
      </c>
      <c r="K151" s="884">
        <f t="shared" si="11"/>
        <v>1677</v>
      </c>
      <c r="L151" s="884">
        <f t="shared" si="12"/>
        <v>1893</v>
      </c>
      <c r="T151" s="629">
        <v>1208</v>
      </c>
      <c r="U151" s="629">
        <v>1211</v>
      </c>
      <c r="V151" s="629">
        <v>1447</v>
      </c>
      <c r="X151" s="629">
        <f t="shared" si="7"/>
        <v>1</v>
      </c>
      <c r="Y151" s="629">
        <f t="shared" si="8"/>
        <v>1</v>
      </c>
      <c r="Z151" s="629">
        <f t="shared" si="9"/>
        <v>1</v>
      </c>
    </row>
    <row r="152" spans="2:26" ht="12.75">
      <c r="B152" s="695"/>
      <c r="C152" s="696"/>
      <c r="D152" s="697" t="s">
        <v>44</v>
      </c>
      <c r="E152" s="694" t="s">
        <v>182</v>
      </c>
      <c r="F152" s="847">
        <f>'Resolución 137-2019-OS_CD'!F137*Factores!$B$10</f>
        <v>1823.7504</v>
      </c>
      <c r="G152" s="847">
        <f>'Resolución 137-2019-OS_CD'!G137*Factores!$B$10</f>
        <v>1696.512</v>
      </c>
      <c r="H152" s="847">
        <f>'Resolución 137-2019-OS_CD'!H137*Factores!$B$10</f>
        <v>1892.6711999999998</v>
      </c>
      <c r="I152" s="630"/>
      <c r="J152" s="884">
        <f t="shared" si="10"/>
        <v>1824</v>
      </c>
      <c r="K152" s="884">
        <f t="shared" si="11"/>
        <v>1697</v>
      </c>
      <c r="L152" s="884">
        <f t="shared" si="12"/>
        <v>1893</v>
      </c>
      <c r="T152" s="629">
        <v>1213</v>
      </c>
      <c r="U152" s="629">
        <v>1230</v>
      </c>
      <c r="V152" s="629">
        <v>1447</v>
      </c>
      <c r="X152" s="629">
        <f t="shared" si="7"/>
        <v>1</v>
      </c>
      <c r="Y152" s="629">
        <f t="shared" si="8"/>
        <v>1</v>
      </c>
      <c r="Z152" s="629">
        <f t="shared" si="9"/>
        <v>1</v>
      </c>
    </row>
    <row r="153" spans="2:26" ht="12.75">
      <c r="B153" s="695"/>
      <c r="C153" s="696"/>
      <c r="D153" s="697" t="s">
        <v>46</v>
      </c>
      <c r="E153" s="694" t="s">
        <v>182</v>
      </c>
      <c r="F153" s="847">
        <f>'Resolución 137-2019-OS_CD'!F138*Factores!$B$10</f>
        <v>1863.5123999999998</v>
      </c>
      <c r="G153" s="847">
        <f>'Resolución 137-2019-OS_CD'!G138*Factores!$B$10</f>
        <v>1713.7422</v>
      </c>
      <c r="H153" s="847">
        <f>'Resolución 137-2019-OS_CD'!H138*Factores!$B$10</f>
        <v>1896.6473999999998</v>
      </c>
      <c r="I153" s="630"/>
      <c r="J153" s="884">
        <f t="shared" si="10"/>
        <v>1864</v>
      </c>
      <c r="K153" s="884">
        <f t="shared" si="11"/>
        <v>1714</v>
      </c>
      <c r="L153" s="884">
        <f t="shared" si="12"/>
        <v>1897</v>
      </c>
      <c r="T153" s="629">
        <v>1242</v>
      </c>
      <c r="U153" s="629">
        <v>1259</v>
      </c>
      <c r="V153" s="629">
        <v>1457</v>
      </c>
      <c r="X153" s="629">
        <f t="shared" si="7"/>
        <v>1</v>
      </c>
      <c r="Y153" s="629">
        <f t="shared" si="8"/>
        <v>1</v>
      </c>
      <c r="Z153" s="629">
        <f t="shared" si="9"/>
        <v>1</v>
      </c>
    </row>
    <row r="154" spans="2:26" ht="12.75">
      <c r="B154" s="695"/>
      <c r="C154" s="696"/>
      <c r="D154" s="697" t="s">
        <v>176</v>
      </c>
      <c r="E154" s="694" t="s">
        <v>182</v>
      </c>
      <c r="F154" s="847">
        <f>'Resolución 137-2019-OS_CD'!F139*Factores!$B$10</f>
        <v>7782.748799999999</v>
      </c>
      <c r="G154" s="847">
        <f>'Resolución 137-2019-OS_CD'!G139*Factores!$B$10</f>
        <v>6934.4928</v>
      </c>
      <c r="H154" s="847">
        <f>'Resolución 137-2019-OS_CD'!H139*Factores!$B$10</f>
        <v>7447.4226</v>
      </c>
      <c r="I154" s="630"/>
      <c r="J154" s="884">
        <f t="shared" si="10"/>
        <v>7783</v>
      </c>
      <c r="K154" s="884">
        <f t="shared" si="11"/>
        <v>6934</v>
      </c>
      <c r="L154" s="884">
        <f t="shared" si="12"/>
        <v>7447</v>
      </c>
      <c r="T154" s="629">
        <v>4877</v>
      </c>
      <c r="U154" s="629">
        <v>4385</v>
      </c>
      <c r="V154" s="629">
        <v>4682</v>
      </c>
      <c r="X154" s="629">
        <f t="shared" si="7"/>
        <v>1</v>
      </c>
      <c r="Y154" s="629">
        <f t="shared" si="8"/>
        <v>1</v>
      </c>
      <c r="Z154" s="629">
        <f t="shared" si="9"/>
        <v>1</v>
      </c>
    </row>
    <row r="155" spans="2:26" ht="12.75">
      <c r="B155" s="703"/>
      <c r="C155" s="704" t="s">
        <v>2</v>
      </c>
      <c r="D155" s="701" t="s">
        <v>72</v>
      </c>
      <c r="E155" s="694" t="s">
        <v>183</v>
      </c>
      <c r="F155" s="847">
        <f>'Resolución 137-2019-OS_CD'!F140*Factores!$B$10</f>
        <v>20464.176</v>
      </c>
      <c r="G155" s="847">
        <f>'Resolución 137-2019-OS_CD'!G140*Factores!$B$10</f>
        <v>21430.3926</v>
      </c>
      <c r="H155" s="847">
        <f>'Resolución 137-2019-OS_CD'!H140*Factores!$B$10</f>
        <v>27478.192799999997</v>
      </c>
      <c r="I155" s="630"/>
      <c r="J155" s="884">
        <f t="shared" si="10"/>
        <v>20464</v>
      </c>
      <c r="K155" s="884">
        <f t="shared" si="11"/>
        <v>21430</v>
      </c>
      <c r="L155" s="884">
        <f t="shared" si="12"/>
        <v>27478</v>
      </c>
      <c r="T155" s="629">
        <v>13706</v>
      </c>
      <c r="U155" s="629">
        <v>14291</v>
      </c>
      <c r="V155" s="629">
        <v>18430</v>
      </c>
      <c r="X155" s="629">
        <f t="shared" si="7"/>
        <v>1</v>
      </c>
      <c r="Y155" s="629">
        <f t="shared" si="8"/>
        <v>1</v>
      </c>
      <c r="Z155" s="629">
        <f t="shared" si="9"/>
        <v>1</v>
      </c>
    </row>
    <row r="156" spans="2:26" ht="12.75">
      <c r="B156" s="703"/>
      <c r="C156" s="705"/>
      <c r="D156" s="701" t="s">
        <v>176</v>
      </c>
      <c r="E156" s="694" t="s">
        <v>183</v>
      </c>
      <c r="F156" s="847">
        <f>'Resolución 137-2019-OS_CD'!F141*Factores!$B$10</f>
        <v>32831.4834</v>
      </c>
      <c r="G156" s="847">
        <f>'Resolución 137-2019-OS_CD'!G141*Factores!$B$10</f>
        <v>33907.7082</v>
      </c>
      <c r="H156" s="847">
        <f>'Resolución 137-2019-OS_CD'!H141*Factores!$B$10</f>
        <v>27333.724199999997</v>
      </c>
      <c r="I156" s="630"/>
      <c r="J156" s="884">
        <f t="shared" si="10"/>
        <v>32831</v>
      </c>
      <c r="K156" s="884">
        <f t="shared" si="11"/>
        <v>33908</v>
      </c>
      <c r="L156" s="884">
        <f t="shared" si="12"/>
        <v>27334</v>
      </c>
      <c r="T156" s="629">
        <v>21411</v>
      </c>
      <c r="U156" s="629">
        <v>22080</v>
      </c>
      <c r="V156" s="629">
        <v>18323</v>
      </c>
      <c r="X156" s="629">
        <f t="shared" si="7"/>
        <v>1</v>
      </c>
      <c r="Y156" s="629">
        <f t="shared" si="8"/>
        <v>1</v>
      </c>
      <c r="Z156" s="629">
        <f t="shared" si="9"/>
        <v>1</v>
      </c>
    </row>
    <row r="157" spans="2:26" ht="12.75">
      <c r="B157" s="709" t="s">
        <v>114</v>
      </c>
      <c r="C157" s="710" t="s">
        <v>1</v>
      </c>
      <c r="D157" s="711"/>
      <c r="E157" s="694" t="s">
        <v>115</v>
      </c>
      <c r="F157" s="847">
        <f>'Resolución 137-2019-OS_CD'!F142*Factores!$B$10</f>
        <v>1084.1771999999999</v>
      </c>
      <c r="G157" s="847">
        <f>'Resolución 137-2019-OS_CD'!G142*Factores!$B$10</f>
        <v>1154.4234</v>
      </c>
      <c r="H157" s="847">
        <f>'Resolución 137-2019-OS_CD'!H142*Factores!$B$10</f>
        <v>1457.9399999999998</v>
      </c>
      <c r="I157" s="630"/>
      <c r="J157" s="884">
        <f t="shared" si="10"/>
        <v>1084</v>
      </c>
      <c r="K157" s="884">
        <f t="shared" si="11"/>
        <v>1154</v>
      </c>
      <c r="L157" s="884">
        <f t="shared" si="12"/>
        <v>1458</v>
      </c>
      <c r="T157" s="629">
        <v>919</v>
      </c>
      <c r="U157" s="629">
        <v>997</v>
      </c>
      <c r="V157" s="629">
        <v>1121</v>
      </c>
      <c r="X157" s="629">
        <f t="shared" si="7"/>
        <v>1</v>
      </c>
      <c r="Y157" s="629">
        <f t="shared" si="8"/>
        <v>1</v>
      </c>
      <c r="Z157" s="629">
        <f t="shared" si="9"/>
        <v>1</v>
      </c>
    </row>
    <row r="158" spans="2:26" ht="12.75">
      <c r="B158" s="712"/>
      <c r="C158" s="710" t="s">
        <v>2</v>
      </c>
      <c r="D158" s="711"/>
      <c r="E158" s="694" t="s">
        <v>116</v>
      </c>
      <c r="F158" s="847">
        <f>'Resolución 137-2019-OS_CD'!F143*Factores!$B$10</f>
        <v>1724.3454</v>
      </c>
      <c r="G158" s="847">
        <f>'Resolución 137-2019-OS_CD'!G143*Factores!$B$10</f>
        <v>2087.5049999999997</v>
      </c>
      <c r="H158" s="847">
        <f>'Resolución 137-2019-OS_CD'!H143*Factores!$B$10</f>
        <v>2356.5611999999996</v>
      </c>
      <c r="I158" s="630"/>
      <c r="J158" s="884">
        <f t="shared" si="10"/>
        <v>1724</v>
      </c>
      <c r="K158" s="884">
        <f t="shared" si="11"/>
        <v>2088</v>
      </c>
      <c r="L158" s="884">
        <f t="shared" si="12"/>
        <v>2357</v>
      </c>
      <c r="T158" s="629">
        <v>1615</v>
      </c>
      <c r="U158" s="629">
        <v>1974</v>
      </c>
      <c r="V158" s="629">
        <v>2241</v>
      </c>
      <c r="X158" s="629">
        <f t="shared" si="7"/>
        <v>1</v>
      </c>
      <c r="Y158" s="629">
        <f t="shared" si="8"/>
        <v>1</v>
      </c>
      <c r="Z158" s="629">
        <f t="shared" si="9"/>
        <v>1</v>
      </c>
    </row>
    <row r="159" spans="2:26" ht="12.75">
      <c r="B159" s="709" t="s">
        <v>117</v>
      </c>
      <c r="C159" s="710" t="s">
        <v>118</v>
      </c>
      <c r="D159" s="711"/>
      <c r="E159" s="694" t="s">
        <v>119</v>
      </c>
      <c r="F159" s="847">
        <f>'Resolución 137-2019-OS_CD'!F144*Factores!$B$10</f>
        <v>70.2462</v>
      </c>
      <c r="G159" s="847">
        <f>'Resolución 137-2019-OS_CD'!G144*Factores!$B$10</f>
        <v>70.2462</v>
      </c>
      <c r="H159" s="847">
        <f>'Resolución 137-2019-OS_CD'!H144*Factores!$B$10</f>
        <v>70.2462</v>
      </c>
      <c r="I159" s="885"/>
      <c r="J159" s="884">
        <f t="shared" si="10"/>
        <v>70</v>
      </c>
      <c r="K159" s="884">
        <f t="shared" si="11"/>
        <v>70</v>
      </c>
      <c r="L159" s="884">
        <f t="shared" si="12"/>
        <v>70</v>
      </c>
      <c r="T159" s="629">
        <v>37</v>
      </c>
      <c r="U159" s="629">
        <v>37</v>
      </c>
      <c r="V159" s="629">
        <v>37</v>
      </c>
      <c r="X159" s="629">
        <f t="shared" si="7"/>
        <v>1</v>
      </c>
      <c r="Y159" s="629">
        <f t="shared" si="8"/>
        <v>1</v>
      </c>
      <c r="Z159" s="629">
        <f t="shared" si="9"/>
        <v>1</v>
      </c>
    </row>
    <row r="160" spans="2:26" ht="15">
      <c r="B160" s="709" t="s">
        <v>405</v>
      </c>
      <c r="C160" s="710" t="s">
        <v>118</v>
      </c>
      <c r="D160" s="711"/>
      <c r="E160" s="694" t="s">
        <v>119</v>
      </c>
      <c r="F160" s="847">
        <f>'Resolución 137-2019-OS_CD'!F145*Factores!$B$10</f>
        <v>170.9766</v>
      </c>
      <c r="G160" s="847">
        <f>'Resolución 137-2019-OS_CD'!G145*Factores!$B$10</f>
        <v>170.9766</v>
      </c>
      <c r="H160" s="847">
        <f>'Resolución 137-2019-OS_CD'!H145*Factores!$B$10</f>
        <v>170.9766</v>
      </c>
      <c r="I160" s="885"/>
      <c r="J160" s="884">
        <f t="shared" si="10"/>
        <v>171</v>
      </c>
      <c r="K160" s="884">
        <f t="shared" si="11"/>
        <v>171</v>
      </c>
      <c r="L160" s="884">
        <f t="shared" si="12"/>
        <v>171</v>
      </c>
      <c r="T160" s="629">
        <v>104</v>
      </c>
      <c r="U160" s="629">
        <v>104</v>
      </c>
      <c r="V160" s="629">
        <v>104</v>
      </c>
      <c r="X160" s="629">
        <f t="shared" si="7"/>
        <v>1</v>
      </c>
      <c r="Y160" s="629">
        <f t="shared" si="8"/>
        <v>1</v>
      </c>
      <c r="Z160" s="629">
        <f t="shared" si="9"/>
        <v>1</v>
      </c>
    </row>
    <row r="161" spans="2:26" ht="12.75">
      <c r="B161" s="713" t="s">
        <v>95</v>
      </c>
      <c r="C161" s="710" t="s">
        <v>1</v>
      </c>
      <c r="D161" s="711"/>
      <c r="E161" s="694" t="s">
        <v>120</v>
      </c>
      <c r="F161" s="847">
        <f>'Resolución 137-2019-OS_CD'!F146*Factores!$B$10</f>
        <v>365.81039999999996</v>
      </c>
      <c r="G161" s="847">
        <f>'Resolución 137-2019-OS_CD'!G146*Factores!$B$10</f>
        <v>365.81039999999996</v>
      </c>
      <c r="H161" s="847">
        <f>'Resolución 137-2019-OS_CD'!H146*Factores!$B$10</f>
        <v>365.81039999999996</v>
      </c>
      <c r="I161" s="885"/>
      <c r="J161" s="884">
        <f t="shared" si="10"/>
        <v>366</v>
      </c>
      <c r="K161" s="884">
        <f t="shared" si="11"/>
        <v>366</v>
      </c>
      <c r="L161" s="884">
        <f t="shared" si="12"/>
        <v>366</v>
      </c>
      <c r="T161" s="629">
        <v>247</v>
      </c>
      <c r="U161" s="629">
        <v>247</v>
      </c>
      <c r="V161" s="629">
        <v>247</v>
      </c>
      <c r="X161" s="629">
        <f t="shared" si="7"/>
        <v>1</v>
      </c>
      <c r="Y161" s="629">
        <f t="shared" si="8"/>
        <v>1</v>
      </c>
      <c r="Z161" s="629">
        <f t="shared" si="9"/>
        <v>1</v>
      </c>
    </row>
    <row r="162" spans="2:26" ht="12.75">
      <c r="B162" s="709" t="s">
        <v>121</v>
      </c>
      <c r="C162" s="714" t="s">
        <v>1</v>
      </c>
      <c r="D162" s="715"/>
      <c r="E162" s="716" t="s">
        <v>122</v>
      </c>
      <c r="F162" s="847">
        <f>'Resolución 137-2019-OS_CD'!F147*Factores!$B$10</f>
        <v>622.938</v>
      </c>
      <c r="G162" s="847">
        <f>'Resolución 137-2019-OS_CD'!G147*Factores!$B$10</f>
        <v>622.938</v>
      </c>
      <c r="H162" s="847">
        <f>'Resolución 137-2019-OS_CD'!H147*Factores!$B$10</f>
        <v>622.938</v>
      </c>
      <c r="I162" s="885"/>
      <c r="J162" s="884">
        <f t="shared" si="10"/>
        <v>623</v>
      </c>
      <c r="K162" s="884">
        <f t="shared" si="11"/>
        <v>623</v>
      </c>
      <c r="L162" s="884">
        <f t="shared" si="12"/>
        <v>623</v>
      </c>
      <c r="T162" s="629">
        <v>388</v>
      </c>
      <c r="U162" s="629">
        <v>388</v>
      </c>
      <c r="V162" s="629">
        <v>388</v>
      </c>
      <c r="X162" s="629">
        <f t="shared" si="7"/>
        <v>1</v>
      </c>
      <c r="Y162" s="629">
        <f t="shared" si="8"/>
        <v>1</v>
      </c>
      <c r="Z162" s="629">
        <f t="shared" si="9"/>
        <v>1</v>
      </c>
    </row>
    <row r="163" spans="2:28" ht="12.75">
      <c r="B163" s="717"/>
      <c r="C163" s="718"/>
      <c r="D163" s="719"/>
      <c r="E163" s="716" t="s">
        <v>123</v>
      </c>
      <c r="F163" s="847">
        <f>'Resolución 137-2019-OS_CD'!F148*Factores!$B$10</f>
        <v>202.78619999999998</v>
      </c>
      <c r="G163" s="847">
        <f>'Resolución 137-2019-OS_CD'!G148*Factores!$B$10</f>
        <v>202.78619999999998</v>
      </c>
      <c r="H163" s="847">
        <f>'Resolución 137-2019-OS_CD'!H148*Factores!$B$10</f>
        <v>202.78619999999998</v>
      </c>
      <c r="I163" s="885"/>
      <c r="J163" s="884">
        <f t="shared" si="10"/>
        <v>203</v>
      </c>
      <c r="K163" s="884">
        <f t="shared" si="11"/>
        <v>203</v>
      </c>
      <c r="L163" s="884">
        <f t="shared" si="12"/>
        <v>203</v>
      </c>
      <c r="T163" s="629">
        <v>128</v>
      </c>
      <c r="U163" s="629">
        <v>128</v>
      </c>
      <c r="V163" s="629">
        <v>128</v>
      </c>
      <c r="X163" s="629">
        <f t="shared" si="7"/>
        <v>1</v>
      </c>
      <c r="Y163" s="629">
        <f t="shared" si="8"/>
        <v>1</v>
      </c>
      <c r="Z163" s="629">
        <f t="shared" si="9"/>
        <v>1</v>
      </c>
      <c r="AA163" s="629">
        <f>+SUM(X134:Z163)</f>
        <v>90</v>
      </c>
      <c r="AB163" s="629" t="b">
        <f>+IF(AA163=0,"ok")</f>
        <v>0</v>
      </c>
    </row>
    <row r="164" spans="2:12" ht="12.75">
      <c r="B164" s="630"/>
      <c r="C164" s="630"/>
      <c r="D164" s="630"/>
      <c r="E164" s="630"/>
      <c r="F164" s="630"/>
      <c r="G164" s="630"/>
      <c r="H164" s="630"/>
      <c r="I164" s="630"/>
      <c r="J164" s="630"/>
      <c r="K164" s="630"/>
      <c r="L164" s="630"/>
    </row>
    <row r="165" spans="2:12" ht="12.75">
      <c r="B165" s="630"/>
      <c r="C165" s="630"/>
      <c r="D165" s="630"/>
      <c r="E165" s="630"/>
      <c r="F165" s="630"/>
      <c r="G165" s="630"/>
      <c r="H165" s="630"/>
      <c r="I165" s="630"/>
      <c r="J165" s="630"/>
      <c r="K165" s="630"/>
      <c r="L165" s="630"/>
    </row>
    <row r="166" spans="2:12" ht="15.75">
      <c r="B166" s="632" t="s">
        <v>293</v>
      </c>
      <c r="C166" s="720"/>
      <c r="D166" s="720"/>
      <c r="E166" s="630"/>
      <c r="F166" s="630"/>
      <c r="G166" s="630"/>
      <c r="H166" s="630"/>
      <c r="I166" s="630"/>
      <c r="J166" s="630"/>
      <c r="K166" s="630"/>
      <c r="L166" s="630"/>
    </row>
    <row r="167" spans="2:12" ht="12.75">
      <c r="B167" s="720"/>
      <c r="C167" s="720"/>
      <c r="D167" s="720"/>
      <c r="E167" s="630"/>
      <c r="F167" s="630"/>
      <c r="G167" s="630"/>
      <c r="H167" s="630"/>
      <c r="I167" s="630"/>
      <c r="J167" s="630"/>
      <c r="K167" s="630"/>
      <c r="L167" s="630"/>
    </row>
    <row r="168" spans="2:12" ht="12.75">
      <c r="B168" s="721" t="s">
        <v>50</v>
      </c>
      <c r="C168" s="721" t="s">
        <v>92</v>
      </c>
      <c r="D168" s="690" t="s">
        <v>93</v>
      </c>
      <c r="E168" s="630"/>
      <c r="F168" s="630"/>
      <c r="G168" s="630"/>
      <c r="H168" s="630"/>
      <c r="I168" s="630"/>
      <c r="J168" s="630"/>
      <c r="K168" s="630"/>
      <c r="L168" s="630"/>
    </row>
    <row r="169" spans="2:22" ht="15">
      <c r="B169" s="722" t="s">
        <v>94</v>
      </c>
      <c r="C169" s="688" t="s">
        <v>406</v>
      </c>
      <c r="D169" s="844">
        <f>'Resolución 137-2019-OS_CD'!D154*Factores!$B$11</f>
        <v>142.215</v>
      </c>
      <c r="E169" s="630"/>
      <c r="F169" s="630"/>
      <c r="G169" s="630"/>
      <c r="H169" s="630"/>
      <c r="I169" s="630"/>
      <c r="J169" s="630"/>
      <c r="K169" s="630"/>
      <c r="L169" s="630"/>
      <c r="T169" s="629">
        <v>104</v>
      </c>
      <c r="V169" s="629">
        <f>+IF(T169=D169,0,1)</f>
        <v>1</v>
      </c>
    </row>
    <row r="170" spans="2:22" ht="12.75">
      <c r="B170" s="723" t="s">
        <v>294</v>
      </c>
      <c r="C170" s="724" t="s">
        <v>92</v>
      </c>
      <c r="D170" s="844">
        <f>'Resolución 137-2019-OS_CD'!D155*Factores!$B$11</f>
        <v>198.35250000000002</v>
      </c>
      <c r="E170" s="630"/>
      <c r="F170" s="630"/>
      <c r="G170" s="630"/>
      <c r="H170" s="630"/>
      <c r="I170" s="630"/>
      <c r="J170" s="630"/>
      <c r="K170" s="630"/>
      <c r="L170" s="630"/>
      <c r="T170" s="629">
        <v>168</v>
      </c>
      <c r="V170" s="629">
        <f>+IF(T170=D170,0,1)</f>
        <v>1</v>
      </c>
    </row>
    <row r="171" spans="2:22" ht="12.75">
      <c r="B171" s="723" t="s">
        <v>295</v>
      </c>
      <c r="C171" s="724" t="s">
        <v>92</v>
      </c>
      <c r="D171" s="844">
        <f>'Resolución 137-2019-OS_CD'!D156*Factores!$B$11</f>
        <v>219.56</v>
      </c>
      <c r="E171" s="630"/>
      <c r="F171" s="630"/>
      <c r="G171" s="630"/>
      <c r="H171" s="630"/>
      <c r="I171" s="630"/>
      <c r="J171" s="630"/>
      <c r="K171" s="630"/>
      <c r="L171" s="630"/>
      <c r="T171" s="629">
        <v>205</v>
      </c>
      <c r="V171" s="629">
        <f>+IF(T171=D171,0,1)</f>
        <v>1</v>
      </c>
    </row>
    <row r="172" spans="2:22" ht="12.75">
      <c r="B172" s="723" t="s">
        <v>96</v>
      </c>
      <c r="C172" s="724" t="s">
        <v>92</v>
      </c>
      <c r="D172" s="844">
        <f>'Resolución 137-2019-OS_CD'!D157*Factores!$B$11</f>
        <v>99.80000000000001</v>
      </c>
      <c r="E172" s="630"/>
      <c r="F172" s="630"/>
      <c r="G172" s="630"/>
      <c r="H172" s="630"/>
      <c r="I172" s="630"/>
      <c r="J172" s="630"/>
      <c r="K172" s="630"/>
      <c r="L172" s="630"/>
      <c r="T172" s="629">
        <v>145</v>
      </c>
      <c r="V172" s="629">
        <f>+IF(T172=D172,0,1)</f>
        <v>1</v>
      </c>
    </row>
    <row r="173" spans="2:24" ht="12.75">
      <c r="B173" s="723" t="s">
        <v>97</v>
      </c>
      <c r="C173" s="724" t="s">
        <v>92</v>
      </c>
      <c r="D173" s="844">
        <f>'Resolución 137-2019-OS_CD'!D158*Factores!$B$11</f>
        <v>157.185</v>
      </c>
      <c r="E173" s="630"/>
      <c r="F173" s="630"/>
      <c r="G173" s="630"/>
      <c r="H173" s="630"/>
      <c r="I173" s="630"/>
      <c r="J173" s="630"/>
      <c r="K173" s="630"/>
      <c r="L173" s="630"/>
      <c r="T173" s="629">
        <v>206</v>
      </c>
      <c r="V173" s="629">
        <f>+IF(T173=D173,0,1)</f>
        <v>1</v>
      </c>
      <c r="W173" s="665">
        <f>+SUM(V169:V173)</f>
        <v>5</v>
      </c>
      <c r="X173" s="629" t="b">
        <f>+IF(W173=0,"ok")</f>
        <v>0</v>
      </c>
    </row>
    <row r="174" spans="2:12" ht="12.75">
      <c r="B174" s="630"/>
      <c r="C174" s="630"/>
      <c r="D174" s="630"/>
      <c r="E174" s="630"/>
      <c r="F174" s="630"/>
      <c r="G174" s="630"/>
      <c r="H174" s="630"/>
      <c r="I174" s="630"/>
      <c r="J174" s="630"/>
      <c r="K174" s="630"/>
      <c r="L174" s="630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comunicaciones</cp:lastModifiedBy>
  <cp:lastPrinted>2019-08-30T20:50:13Z</cp:lastPrinted>
  <dcterms:created xsi:type="dcterms:W3CDTF">1996-11-27T10:00:04Z</dcterms:created>
  <dcterms:modified xsi:type="dcterms:W3CDTF">2022-11-08T15:28:12Z</dcterms:modified>
  <cp:category/>
  <cp:version/>
  <cp:contentType/>
  <cp:contentStatus/>
</cp:coreProperties>
</file>